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0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drek-my.sharepoint.com/personal/indrek_indrek_onmicrosoft_com/Documents/3. Töösolevad/22-23 Viimsi valla ÜVK arengukava/Viimsi valla YVKA jagatud/Olemasolev olukord/Lisad/Lisa 3 Vee- ja reoveebilansid/"/>
    </mc:Choice>
  </mc:AlternateContent>
  <xr:revisionPtr revIDLastSave="40" documentId="14_{A11FE04F-A571-4DAB-9790-587D068163AB}" xr6:coauthVersionLast="47" xr6:coauthVersionMax="47" xr10:uidLastSave="{E9CAB8A3-6AED-4E98-8F97-BB1228E5DAB3}"/>
  <bookViews>
    <workbookView xWindow="-108" yWindow="-108" windowWidth="23256" windowHeight="12456" xr2:uid="{00000000-000D-0000-FFFF-FFFF00000000}"/>
  </bookViews>
  <sheets>
    <sheet name="Leht2" sheetId="2" r:id="rId1"/>
    <sheet name="Leht3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8" i="2" l="1"/>
  <c r="H248" i="2"/>
  <c r="G262" i="2"/>
  <c r="H262" i="2"/>
  <c r="H250" i="2" s="1"/>
  <c r="F262" i="2"/>
  <c r="G251" i="2"/>
  <c r="H251" i="2"/>
  <c r="I251" i="2"/>
  <c r="J251" i="2"/>
  <c r="K251" i="2"/>
  <c r="L251" i="2"/>
  <c r="M251" i="2"/>
  <c r="N251" i="2"/>
  <c r="O251" i="2"/>
  <c r="P251" i="2"/>
  <c r="Q251" i="2"/>
  <c r="R251" i="2"/>
  <c r="F251" i="2"/>
  <c r="E251" i="2"/>
  <c r="G250" i="2"/>
  <c r="G247" i="2"/>
  <c r="H247" i="2"/>
  <c r="I247" i="2" s="1"/>
  <c r="J247" i="2" s="1"/>
  <c r="K247" i="2" s="1"/>
  <c r="L247" i="2" s="1"/>
  <c r="M247" i="2" s="1"/>
  <c r="N247" i="2" s="1"/>
  <c r="O247" i="2" s="1"/>
  <c r="P247" i="2" s="1"/>
  <c r="Q247" i="2" s="1"/>
  <c r="R247" i="2" s="1"/>
  <c r="F247" i="2"/>
  <c r="G246" i="2"/>
  <c r="E246" i="2"/>
  <c r="D246" i="2"/>
  <c r="D247" i="2" s="1"/>
  <c r="D251" i="2"/>
  <c r="E247" i="2"/>
  <c r="C247" i="2"/>
  <c r="E249" i="2"/>
  <c r="E261" i="2"/>
  <c r="E259" i="2"/>
  <c r="E254" i="2"/>
  <c r="E255" i="2" s="1"/>
  <c r="E262" i="2"/>
  <c r="E253" i="2"/>
  <c r="H246" i="2" l="1"/>
  <c r="E201" i="2" l="1"/>
  <c r="E202" i="2" s="1"/>
  <c r="E199" i="2"/>
  <c r="E200" i="2" s="1"/>
  <c r="E187" i="2"/>
  <c r="E188" i="2" s="1"/>
  <c r="E185" i="2"/>
  <c r="E186" i="2" s="1"/>
  <c r="E173" i="2"/>
  <c r="E174" i="2" s="1"/>
  <c r="E171" i="2"/>
  <c r="E172" i="2" s="1"/>
  <c r="E158" i="2"/>
  <c r="E159" i="2" s="1"/>
  <c r="E156" i="2"/>
  <c r="E157" i="2" s="1"/>
  <c r="E142" i="2"/>
  <c r="E143" i="2" s="1"/>
  <c r="E144" i="2"/>
  <c r="E145" i="2" s="1"/>
  <c r="E129" i="2" l="1"/>
  <c r="E130" i="2" s="1"/>
  <c r="E127" i="2"/>
  <c r="E128" i="2" s="1"/>
  <c r="E112" i="2"/>
  <c r="E113" i="2" s="1"/>
  <c r="E99" i="2"/>
  <c r="E100" i="2" s="1"/>
  <c r="E97" i="2"/>
  <c r="E98" i="2" s="1"/>
  <c r="E83" i="2"/>
  <c r="E84" i="2" s="1"/>
  <c r="E70" i="2"/>
  <c r="E71" i="2" s="1"/>
  <c r="E68" i="2"/>
  <c r="E69" i="2" s="1"/>
  <c r="E56" i="2"/>
  <c r="E57" i="2" s="1"/>
  <c r="E54" i="2"/>
  <c r="E55" i="2" s="1"/>
  <c r="E42" i="2"/>
  <c r="E43" i="2" s="1"/>
  <c r="E40" i="2"/>
  <c r="E41" i="2" s="1"/>
  <c r="E27" i="2"/>
  <c r="E28" i="2" s="1"/>
  <c r="E25" i="2"/>
  <c r="E26" i="2" s="1"/>
  <c r="E12" i="2"/>
  <c r="E13" i="2" s="1"/>
  <c r="E10" i="2"/>
  <c r="E11" i="2" s="1"/>
  <c r="C57" i="2"/>
  <c r="E213" i="2" l="1"/>
  <c r="E214" i="2" s="1"/>
  <c r="D98" i="2" l="1"/>
  <c r="D71" i="2"/>
  <c r="D26" i="2"/>
  <c r="D28" i="2"/>
  <c r="D8" i="2"/>
  <c r="D9" i="2" s="1"/>
  <c r="D24" i="2" l="1"/>
  <c r="E115" i="2"/>
  <c r="E86" i="2"/>
  <c r="E231" i="2"/>
  <c r="E229" i="2"/>
  <c r="E226" i="2"/>
  <c r="E227" i="2" s="1"/>
  <c r="E216" i="2"/>
  <c r="E212" i="2" s="1"/>
  <c r="E211" i="2"/>
  <c r="E196" i="2"/>
  <c r="E197" i="2"/>
  <c r="E198" i="2" s="1"/>
  <c r="E182" i="2"/>
  <c r="E183" i="2"/>
  <c r="E184" i="2" s="1"/>
  <c r="E168" i="2"/>
  <c r="E169" i="2"/>
  <c r="E170" i="2" s="1"/>
  <c r="E153" i="2"/>
  <c r="E154" i="2"/>
  <c r="E155" i="2" s="1"/>
  <c r="E140" i="2"/>
  <c r="E141" i="2" s="1"/>
  <c r="E125" i="2"/>
  <c r="E126" i="2" s="1"/>
  <c r="E109" i="2"/>
  <c r="E110" i="2"/>
  <c r="E111" i="2" s="1"/>
  <c r="E94" i="2"/>
  <c r="F94" i="2" s="1"/>
  <c r="G94" i="2" s="1"/>
  <c r="H94" i="2" s="1"/>
  <c r="I94" i="2" s="1"/>
  <c r="J94" i="2" s="1"/>
  <c r="K94" i="2" s="1"/>
  <c r="L94" i="2" s="1"/>
  <c r="M94" i="2" s="1"/>
  <c r="N94" i="2" s="1"/>
  <c r="O94" i="2" s="1"/>
  <c r="P94" i="2" s="1"/>
  <c r="Q94" i="2" s="1"/>
  <c r="E95" i="2"/>
  <c r="E96" i="2" s="1"/>
  <c r="E80" i="2"/>
  <c r="E81" i="2"/>
  <c r="E82" i="2" s="1"/>
  <c r="E66" i="2"/>
  <c r="E67" i="2" s="1"/>
  <c r="E51" i="2"/>
  <c r="F51" i="2" s="1"/>
  <c r="G51" i="2" s="1"/>
  <c r="H51" i="2" s="1"/>
  <c r="I51" i="2" s="1"/>
  <c r="J51" i="2" s="1"/>
  <c r="K51" i="2" s="1"/>
  <c r="L51" i="2" s="1"/>
  <c r="M51" i="2" s="1"/>
  <c r="N51" i="2" s="1"/>
  <c r="O51" i="2" s="1"/>
  <c r="P51" i="2" s="1"/>
  <c r="Q51" i="2" s="1"/>
  <c r="R51" i="2" s="1"/>
  <c r="E52" i="2"/>
  <c r="E53" i="2" s="1"/>
  <c r="E38" i="2"/>
  <c r="E39" i="2" s="1"/>
  <c r="F80" i="2" l="1"/>
  <c r="G80" i="2" s="1"/>
  <c r="H80" i="2" s="1"/>
  <c r="I80" i="2" s="1"/>
  <c r="J80" i="2" s="1"/>
  <c r="K80" i="2" s="1"/>
  <c r="L80" i="2" s="1"/>
  <c r="M80" i="2" s="1"/>
  <c r="N80" i="2" s="1"/>
  <c r="O80" i="2" s="1"/>
  <c r="P80" i="2" s="1"/>
  <c r="Q80" i="2" s="1"/>
  <c r="K216" i="2" l="1"/>
  <c r="L216" i="2" s="1"/>
  <c r="M216" i="2" s="1"/>
  <c r="N216" i="2" s="1"/>
  <c r="O216" i="2" s="1"/>
  <c r="H202" i="2"/>
  <c r="I202" i="2" s="1"/>
  <c r="J202" i="2" s="1"/>
  <c r="K202" i="2" s="1"/>
  <c r="L202" i="2" s="1"/>
  <c r="M202" i="2" s="1"/>
  <c r="N202" i="2" s="1"/>
  <c r="O202" i="2" s="1"/>
  <c r="J188" i="2"/>
  <c r="K188" i="2" s="1"/>
  <c r="L188" i="2" s="1"/>
  <c r="M188" i="2" s="1"/>
  <c r="N188" i="2" s="1"/>
  <c r="O188" i="2" s="1"/>
  <c r="P188" i="2" s="1"/>
  <c r="Q188" i="2" s="1"/>
  <c r="R188" i="2" s="1"/>
  <c r="H174" i="2"/>
  <c r="I174" i="2" s="1"/>
  <c r="J174" i="2" s="1"/>
  <c r="K174" i="2" s="1"/>
  <c r="L174" i="2" s="1"/>
  <c r="M174" i="2" s="1"/>
  <c r="N174" i="2" s="1"/>
  <c r="O174" i="2" s="1"/>
  <c r="P174" i="2" s="1"/>
  <c r="Q174" i="2" s="1"/>
  <c r="R174" i="2" s="1"/>
  <c r="L145" i="2"/>
  <c r="M145" i="2" s="1"/>
  <c r="N145" i="2" s="1"/>
  <c r="O145" i="2" s="1"/>
  <c r="P145" i="2" s="1"/>
  <c r="Q145" i="2" s="1"/>
  <c r="R145" i="2" s="1"/>
  <c r="F71" i="2"/>
  <c r="G71" i="2" s="1"/>
  <c r="H71" i="2" s="1"/>
  <c r="I71" i="2" s="1"/>
  <c r="J71" i="2" s="1"/>
  <c r="K71" i="2" s="1"/>
  <c r="L71" i="2" s="1"/>
  <c r="M71" i="2" s="1"/>
  <c r="N71" i="2" s="1"/>
  <c r="O71" i="2" s="1"/>
  <c r="G57" i="2"/>
  <c r="H57" i="2" s="1"/>
  <c r="I57" i="2" s="1"/>
  <c r="J57" i="2" s="1"/>
  <c r="K57" i="2" s="1"/>
  <c r="L57" i="2" s="1"/>
  <c r="M57" i="2" s="1"/>
  <c r="N57" i="2" s="1"/>
  <c r="O57" i="2" s="1"/>
  <c r="P57" i="2" s="1"/>
  <c r="Q57" i="2" s="1"/>
  <c r="R57" i="2" s="1"/>
  <c r="D263" i="2"/>
  <c r="C263" i="2"/>
  <c r="C255" i="2"/>
  <c r="C257" i="2" s="1"/>
  <c r="C259" i="2" s="1"/>
  <c r="C261" i="2" s="1"/>
  <c r="D255" i="2"/>
  <c r="D257" i="2" s="1"/>
  <c r="D259" i="2" s="1"/>
  <c r="D261" i="2" s="1"/>
  <c r="D253" i="2"/>
  <c r="C243" i="2"/>
  <c r="D243" i="2"/>
  <c r="D244" i="2" s="1"/>
  <c r="D245" i="2" s="1"/>
  <c r="D241" i="2"/>
  <c r="C241" i="2"/>
  <c r="D236" i="2"/>
  <c r="E236" i="2"/>
  <c r="F236" i="2"/>
  <c r="G236" i="2"/>
  <c r="H236" i="2"/>
  <c r="I236" i="2"/>
  <c r="J236" i="2"/>
  <c r="K236" i="2"/>
  <c r="L236" i="2"/>
  <c r="M236" i="2"/>
  <c r="N236" i="2"/>
  <c r="O236" i="2"/>
  <c r="P236" i="2"/>
  <c r="Q236" i="2"/>
  <c r="R236" i="2"/>
  <c r="C236" i="2"/>
  <c r="C253" i="2"/>
  <c r="D262" i="2" l="1"/>
  <c r="C262" i="2"/>
  <c r="C244" i="2"/>
  <c r="C245" i="2" s="1"/>
  <c r="C249" i="2" l="1"/>
  <c r="D249" i="2"/>
  <c r="D231" i="2"/>
  <c r="C231" i="2"/>
  <c r="R230" i="2"/>
  <c r="Q230" i="2"/>
  <c r="P230" i="2"/>
  <c r="O230" i="2"/>
  <c r="N230" i="2"/>
  <c r="M230" i="2"/>
  <c r="L230" i="2"/>
  <c r="K230" i="2"/>
  <c r="J230" i="2"/>
  <c r="I230" i="2"/>
  <c r="H230" i="2"/>
  <c r="G230" i="2"/>
  <c r="F230" i="2"/>
  <c r="D229" i="2"/>
  <c r="D227" i="2" s="1"/>
  <c r="C229" i="2"/>
  <c r="C227" i="2" s="1"/>
  <c r="D226" i="2"/>
  <c r="C226" i="2"/>
  <c r="R223" i="2"/>
  <c r="R229" i="2" s="1"/>
  <c r="Q223" i="2"/>
  <c r="Q229" i="2" s="1"/>
  <c r="P223" i="2"/>
  <c r="P229" i="2" s="1"/>
  <c r="O223" i="2"/>
  <c r="O229" i="2" s="1"/>
  <c r="N223" i="2"/>
  <c r="N229" i="2" s="1"/>
  <c r="M223" i="2"/>
  <c r="M229" i="2" s="1"/>
  <c r="L223" i="2"/>
  <c r="L229" i="2" s="1"/>
  <c r="L228" i="2" s="1"/>
  <c r="K223" i="2"/>
  <c r="K229" i="2" s="1"/>
  <c r="K228" i="2" s="1"/>
  <c r="J223" i="2"/>
  <c r="J229" i="2" s="1"/>
  <c r="I223" i="2"/>
  <c r="I229" i="2" s="1"/>
  <c r="H223" i="2"/>
  <c r="H229" i="2" s="1"/>
  <c r="H228" i="2" s="1"/>
  <c r="H226" i="2" s="1"/>
  <c r="G223" i="2"/>
  <c r="G229" i="2" s="1"/>
  <c r="F223" i="2"/>
  <c r="F229" i="2" s="1"/>
  <c r="E223" i="2"/>
  <c r="D223" i="2"/>
  <c r="C223" i="2"/>
  <c r="D216" i="2"/>
  <c r="C216" i="2"/>
  <c r="D214" i="2"/>
  <c r="C214" i="2"/>
  <c r="D211" i="2"/>
  <c r="C211" i="2"/>
  <c r="R208" i="2"/>
  <c r="Q208" i="2"/>
  <c r="P208" i="2"/>
  <c r="O208" i="2"/>
  <c r="N208" i="2"/>
  <c r="M208" i="2"/>
  <c r="L208" i="2"/>
  <c r="K208" i="2"/>
  <c r="J208" i="2"/>
  <c r="I208" i="2"/>
  <c r="H208" i="2"/>
  <c r="G208" i="2"/>
  <c r="F208" i="2"/>
  <c r="E208" i="2"/>
  <c r="D208" i="2"/>
  <c r="C208" i="2"/>
  <c r="D202" i="2"/>
  <c r="C202" i="2"/>
  <c r="R201" i="2"/>
  <c r="Q201" i="2"/>
  <c r="P201" i="2"/>
  <c r="O201" i="2"/>
  <c r="N201" i="2"/>
  <c r="M201" i="2"/>
  <c r="L201" i="2"/>
  <c r="K201" i="2"/>
  <c r="J201" i="2"/>
  <c r="I201" i="2"/>
  <c r="H201" i="2"/>
  <c r="G201" i="2"/>
  <c r="F201" i="2"/>
  <c r="D200" i="2"/>
  <c r="C200" i="2"/>
  <c r="D197" i="2"/>
  <c r="C197" i="2"/>
  <c r="R194" i="2"/>
  <c r="R200" i="2" s="1"/>
  <c r="Q194" i="2"/>
  <c r="Q200" i="2" s="1"/>
  <c r="P194" i="2"/>
  <c r="P200" i="2" s="1"/>
  <c r="O194" i="2"/>
  <c r="O200" i="2" s="1"/>
  <c r="N194" i="2"/>
  <c r="N200" i="2" s="1"/>
  <c r="N199" i="2" s="1"/>
  <c r="M194" i="2"/>
  <c r="M200" i="2" s="1"/>
  <c r="L194" i="2"/>
  <c r="L200" i="2" s="1"/>
  <c r="L199" i="2" s="1"/>
  <c r="K194" i="2"/>
  <c r="K200" i="2" s="1"/>
  <c r="K199" i="2" s="1"/>
  <c r="J194" i="2"/>
  <c r="J200" i="2" s="1"/>
  <c r="I194" i="2"/>
  <c r="I200" i="2" s="1"/>
  <c r="I199" i="2" s="1"/>
  <c r="H194" i="2"/>
  <c r="G194" i="2"/>
  <c r="G200" i="2" s="1"/>
  <c r="F194" i="2"/>
  <c r="F200" i="2" s="1"/>
  <c r="D194" i="2"/>
  <c r="C194" i="2"/>
  <c r="D188" i="2"/>
  <c r="R187" i="2" s="1"/>
  <c r="C188" i="2"/>
  <c r="O187" i="2"/>
  <c r="M187" i="2"/>
  <c r="L187" i="2"/>
  <c r="J187" i="2"/>
  <c r="I187" i="2"/>
  <c r="H187" i="2"/>
  <c r="D186" i="2"/>
  <c r="C186" i="2"/>
  <c r="D183" i="2"/>
  <c r="C183" i="2"/>
  <c r="R180" i="2"/>
  <c r="R186" i="2" s="1"/>
  <c r="Q180" i="2"/>
  <c r="Q186" i="2" s="1"/>
  <c r="P180" i="2"/>
  <c r="P186" i="2" s="1"/>
  <c r="O180" i="2"/>
  <c r="O186" i="2" s="1"/>
  <c r="N180" i="2"/>
  <c r="N186" i="2" s="1"/>
  <c r="N185" i="2" s="1"/>
  <c r="M180" i="2"/>
  <c r="M186" i="2" s="1"/>
  <c r="M185" i="2" s="1"/>
  <c r="L180" i="2"/>
  <c r="L186" i="2" s="1"/>
  <c r="L185" i="2" s="1"/>
  <c r="K180" i="2"/>
  <c r="K186" i="2" s="1"/>
  <c r="K185" i="2" s="1"/>
  <c r="J180" i="2"/>
  <c r="J186" i="2" s="1"/>
  <c r="I180" i="2"/>
  <c r="I186" i="2" s="1"/>
  <c r="H180" i="2"/>
  <c r="H186" i="2" s="1"/>
  <c r="G180" i="2"/>
  <c r="G186" i="2" s="1"/>
  <c r="F180" i="2"/>
  <c r="F186" i="2" s="1"/>
  <c r="F185" i="2" s="1"/>
  <c r="D180" i="2"/>
  <c r="C180" i="2"/>
  <c r="D110" i="2"/>
  <c r="D125" i="2"/>
  <c r="D140" i="2"/>
  <c r="D169" i="2"/>
  <c r="D154" i="2"/>
  <c r="O173" i="2"/>
  <c r="K173" i="2"/>
  <c r="H173" i="2"/>
  <c r="G173" i="2"/>
  <c r="F173" i="2"/>
  <c r="R158" i="2"/>
  <c r="Q158" i="2"/>
  <c r="P158" i="2"/>
  <c r="P144" i="2"/>
  <c r="H144" i="2"/>
  <c r="R129" i="2"/>
  <c r="Q129" i="2"/>
  <c r="P129" i="2"/>
  <c r="O129" i="2"/>
  <c r="N129" i="2"/>
  <c r="M129" i="2"/>
  <c r="L129" i="2"/>
  <c r="K129" i="2"/>
  <c r="J129" i="2"/>
  <c r="I129" i="2"/>
  <c r="H129" i="2"/>
  <c r="G129" i="2"/>
  <c r="F129" i="2"/>
  <c r="D174" i="2"/>
  <c r="R173" i="2" s="1"/>
  <c r="C174" i="2"/>
  <c r="D172" i="2"/>
  <c r="C172" i="2"/>
  <c r="C169" i="2"/>
  <c r="R166" i="2"/>
  <c r="R172" i="2" s="1"/>
  <c r="Q166" i="2"/>
  <c r="Q172" i="2" s="1"/>
  <c r="P166" i="2"/>
  <c r="P172" i="2" s="1"/>
  <c r="O166" i="2"/>
  <c r="O172" i="2" s="1"/>
  <c r="N166" i="2"/>
  <c r="N172" i="2" s="1"/>
  <c r="N171" i="2" s="1"/>
  <c r="M166" i="2"/>
  <c r="M172" i="2" s="1"/>
  <c r="M171" i="2" s="1"/>
  <c r="L166" i="2"/>
  <c r="L172" i="2" s="1"/>
  <c r="L171" i="2" s="1"/>
  <c r="K166" i="2"/>
  <c r="K172" i="2" s="1"/>
  <c r="J166" i="2"/>
  <c r="J172" i="2" s="1"/>
  <c r="I166" i="2"/>
  <c r="I172" i="2" s="1"/>
  <c r="H166" i="2"/>
  <c r="H172" i="2" s="1"/>
  <c r="G166" i="2"/>
  <c r="G172" i="2" s="1"/>
  <c r="F166" i="2"/>
  <c r="F172" i="2" s="1"/>
  <c r="D166" i="2"/>
  <c r="C166" i="2"/>
  <c r="D159" i="2"/>
  <c r="C159" i="2"/>
  <c r="D157" i="2"/>
  <c r="C157" i="2"/>
  <c r="C154" i="2"/>
  <c r="R151" i="2"/>
  <c r="R157" i="2" s="1"/>
  <c r="R155" i="2" s="1"/>
  <c r="R154" i="2" s="1"/>
  <c r="Q151" i="2"/>
  <c r="Q157" i="2" s="1"/>
  <c r="Q155" i="2" s="1"/>
  <c r="Q154" i="2" s="1"/>
  <c r="P151" i="2"/>
  <c r="P157" i="2" s="1"/>
  <c r="P155" i="2" s="1"/>
  <c r="P154" i="2" s="1"/>
  <c r="O151" i="2"/>
  <c r="O157" i="2" s="1"/>
  <c r="N151" i="2"/>
  <c r="N157" i="2" s="1"/>
  <c r="M151" i="2"/>
  <c r="M157" i="2" s="1"/>
  <c r="L151" i="2"/>
  <c r="L157" i="2" s="1"/>
  <c r="K151" i="2"/>
  <c r="K157" i="2" s="1"/>
  <c r="J151" i="2"/>
  <c r="J157" i="2" s="1"/>
  <c r="I151" i="2"/>
  <c r="I157" i="2" s="1"/>
  <c r="H151" i="2"/>
  <c r="H157" i="2" s="1"/>
  <c r="H155" i="2" s="1"/>
  <c r="H154" i="2" s="1"/>
  <c r="G151" i="2"/>
  <c r="G157" i="2" s="1"/>
  <c r="G155" i="2" s="1"/>
  <c r="G154" i="2" s="1"/>
  <c r="F151" i="2"/>
  <c r="F157" i="2" s="1"/>
  <c r="F155" i="2" s="1"/>
  <c r="F154" i="2" s="1"/>
  <c r="D151" i="2"/>
  <c r="C151" i="2"/>
  <c r="D145" i="2"/>
  <c r="R144" i="2" s="1"/>
  <c r="C145" i="2"/>
  <c r="D143" i="2"/>
  <c r="C143" i="2"/>
  <c r="C140" i="2"/>
  <c r="R137" i="2"/>
  <c r="Q137" i="2"/>
  <c r="P137" i="2"/>
  <c r="O137" i="2"/>
  <c r="N137" i="2"/>
  <c r="M137" i="2"/>
  <c r="L137" i="2"/>
  <c r="K137" i="2"/>
  <c r="J137" i="2"/>
  <c r="I137" i="2"/>
  <c r="H137" i="2"/>
  <c r="G137" i="2"/>
  <c r="F137" i="2"/>
  <c r="F143" i="2" s="1"/>
  <c r="F142" i="2" s="1"/>
  <c r="E137" i="2"/>
  <c r="E139" i="2" s="1"/>
  <c r="F139" i="2" s="1"/>
  <c r="G139" i="2" s="1"/>
  <c r="H139" i="2" s="1"/>
  <c r="I139" i="2" s="1"/>
  <c r="J139" i="2" s="1"/>
  <c r="K139" i="2" s="1"/>
  <c r="L139" i="2" s="1"/>
  <c r="M139" i="2" s="1"/>
  <c r="N139" i="2" s="1"/>
  <c r="O139" i="2" s="1"/>
  <c r="P139" i="2" s="1"/>
  <c r="Q139" i="2" s="1"/>
  <c r="R139" i="2" s="1"/>
  <c r="D137" i="2"/>
  <c r="C137" i="2"/>
  <c r="L114" i="2"/>
  <c r="M114" i="2"/>
  <c r="K114" i="2"/>
  <c r="D130" i="2"/>
  <c r="C130" i="2"/>
  <c r="D128" i="2"/>
  <c r="C128" i="2"/>
  <c r="C125" i="2"/>
  <c r="R122" i="2"/>
  <c r="Q122" i="2"/>
  <c r="P122" i="2"/>
  <c r="O122" i="2"/>
  <c r="N122" i="2"/>
  <c r="M122" i="2"/>
  <c r="L122" i="2"/>
  <c r="K122" i="2"/>
  <c r="J122" i="2"/>
  <c r="I122" i="2"/>
  <c r="H122" i="2"/>
  <c r="G122" i="2"/>
  <c r="F122" i="2"/>
  <c r="E122" i="2"/>
  <c r="E124" i="2" s="1"/>
  <c r="F124" i="2" s="1"/>
  <c r="G124" i="2" s="1"/>
  <c r="H124" i="2" s="1"/>
  <c r="I124" i="2" s="1"/>
  <c r="J124" i="2" s="1"/>
  <c r="K124" i="2" s="1"/>
  <c r="L124" i="2" s="1"/>
  <c r="M124" i="2" s="1"/>
  <c r="N124" i="2" s="1"/>
  <c r="O124" i="2" s="1"/>
  <c r="P124" i="2" s="1"/>
  <c r="D122" i="2"/>
  <c r="C122" i="2"/>
  <c r="D113" i="2"/>
  <c r="D115" i="2"/>
  <c r="C115" i="2"/>
  <c r="R114" i="2"/>
  <c r="Q114" i="2"/>
  <c r="P114" i="2"/>
  <c r="O114" i="2"/>
  <c r="N114" i="2"/>
  <c r="J114" i="2"/>
  <c r="I114" i="2"/>
  <c r="H114" i="2"/>
  <c r="G114" i="2"/>
  <c r="F114" i="2"/>
  <c r="C113" i="2"/>
  <c r="C110" i="2"/>
  <c r="R107" i="2"/>
  <c r="R113" i="2" s="1"/>
  <c r="R111" i="2" s="1"/>
  <c r="R110" i="2" s="1"/>
  <c r="Q107" i="2"/>
  <c r="Q113" i="2" s="1"/>
  <c r="Q111" i="2" s="1"/>
  <c r="P107" i="2"/>
  <c r="P113" i="2" s="1"/>
  <c r="P111" i="2" s="1"/>
  <c r="O107" i="2"/>
  <c r="O113" i="2" s="1"/>
  <c r="O111" i="2" s="1"/>
  <c r="N107" i="2"/>
  <c r="N113" i="2" s="1"/>
  <c r="N111" i="2" s="1"/>
  <c r="M107" i="2"/>
  <c r="M113" i="2" s="1"/>
  <c r="M111" i="2" s="1"/>
  <c r="L107" i="2"/>
  <c r="L113" i="2" s="1"/>
  <c r="L111" i="2" s="1"/>
  <c r="K107" i="2"/>
  <c r="K113" i="2" s="1"/>
  <c r="K111" i="2" s="1"/>
  <c r="J107" i="2"/>
  <c r="J113" i="2" s="1"/>
  <c r="J111" i="2" s="1"/>
  <c r="I107" i="2"/>
  <c r="I113" i="2" s="1"/>
  <c r="I111" i="2" s="1"/>
  <c r="H107" i="2"/>
  <c r="H113" i="2" s="1"/>
  <c r="G107" i="2"/>
  <c r="G113" i="2" s="1"/>
  <c r="G111" i="2" s="1"/>
  <c r="G110" i="2" s="1"/>
  <c r="F107" i="2"/>
  <c r="F113" i="2" s="1"/>
  <c r="D107" i="2"/>
  <c r="C107" i="2"/>
  <c r="D100" i="2"/>
  <c r="C100" i="2"/>
  <c r="D86" i="2"/>
  <c r="F86" i="2" s="1"/>
  <c r="G86" i="2" s="1"/>
  <c r="H86" i="2" s="1"/>
  <c r="I86" i="2" s="1"/>
  <c r="R85" i="2" s="1"/>
  <c r="C86" i="2"/>
  <c r="C98" i="2"/>
  <c r="D95" i="2"/>
  <c r="C95" i="2"/>
  <c r="R92" i="2"/>
  <c r="R98" i="2" s="1"/>
  <c r="R96" i="2" s="1"/>
  <c r="R95" i="2" s="1"/>
  <c r="Q92" i="2"/>
  <c r="Q98" i="2" s="1"/>
  <c r="Q96" i="2" s="1"/>
  <c r="Q95" i="2" s="1"/>
  <c r="P92" i="2"/>
  <c r="P98" i="2" s="1"/>
  <c r="O92" i="2"/>
  <c r="O98" i="2" s="1"/>
  <c r="O96" i="2" s="1"/>
  <c r="O95" i="2" s="1"/>
  <c r="N92" i="2"/>
  <c r="N98" i="2" s="1"/>
  <c r="M92" i="2"/>
  <c r="M98" i="2" s="1"/>
  <c r="M96" i="2" s="1"/>
  <c r="M95" i="2" s="1"/>
  <c r="L92" i="2"/>
  <c r="L98" i="2" s="1"/>
  <c r="K92" i="2"/>
  <c r="K98" i="2" s="1"/>
  <c r="J92" i="2"/>
  <c r="J98" i="2" s="1"/>
  <c r="I92" i="2"/>
  <c r="I98" i="2" s="1"/>
  <c r="I96" i="2" s="1"/>
  <c r="I95" i="2" s="1"/>
  <c r="H92" i="2"/>
  <c r="H98" i="2" s="1"/>
  <c r="H96" i="2" s="1"/>
  <c r="H95" i="2" s="1"/>
  <c r="G92" i="2"/>
  <c r="G98" i="2" s="1"/>
  <c r="G96" i="2" s="1"/>
  <c r="G95" i="2" s="1"/>
  <c r="F92" i="2"/>
  <c r="F98" i="2" s="1"/>
  <c r="F96" i="2" s="1"/>
  <c r="F95" i="2" s="1"/>
  <c r="D92" i="2"/>
  <c r="C92" i="2"/>
  <c r="F78" i="2"/>
  <c r="F84" i="2" s="1"/>
  <c r="G78" i="2"/>
  <c r="G84" i="2" s="1"/>
  <c r="H78" i="2"/>
  <c r="H84" i="2" s="1"/>
  <c r="I78" i="2"/>
  <c r="I84" i="2" s="1"/>
  <c r="J78" i="2"/>
  <c r="J84" i="2" s="1"/>
  <c r="J82" i="2" s="1"/>
  <c r="J81" i="2" s="1"/>
  <c r="K78" i="2"/>
  <c r="K84" i="2" s="1"/>
  <c r="K82" i="2" s="1"/>
  <c r="K81" i="2" s="1"/>
  <c r="L78" i="2"/>
  <c r="L84" i="2" s="1"/>
  <c r="L82" i="2" s="1"/>
  <c r="L81" i="2" s="1"/>
  <c r="M78" i="2"/>
  <c r="M84" i="2" s="1"/>
  <c r="N78" i="2"/>
  <c r="N84" i="2" s="1"/>
  <c r="O78" i="2"/>
  <c r="O84" i="2" s="1"/>
  <c r="P78" i="2"/>
  <c r="P84" i="2" s="1"/>
  <c r="Q78" i="2"/>
  <c r="Q84" i="2" s="1"/>
  <c r="Q82" i="2" s="1"/>
  <c r="Q81" i="2" s="1"/>
  <c r="R78" i="2"/>
  <c r="R84" i="2" s="1"/>
  <c r="R82" i="2" s="1"/>
  <c r="R81" i="2" s="1"/>
  <c r="D78" i="2"/>
  <c r="C78" i="2"/>
  <c r="E63" i="2"/>
  <c r="E65" i="2" s="1"/>
  <c r="F65" i="2" s="1"/>
  <c r="G65" i="2" s="1"/>
  <c r="F63" i="2"/>
  <c r="G63" i="2"/>
  <c r="H63" i="2"/>
  <c r="H69" i="2" s="1"/>
  <c r="I63" i="2"/>
  <c r="I69" i="2" s="1"/>
  <c r="J63" i="2"/>
  <c r="J69" i="2" s="1"/>
  <c r="K63" i="2"/>
  <c r="K69" i="2" s="1"/>
  <c r="L63" i="2"/>
  <c r="L69" i="2" s="1"/>
  <c r="M63" i="2"/>
  <c r="M69" i="2" s="1"/>
  <c r="N63" i="2"/>
  <c r="N69" i="2" s="1"/>
  <c r="O63" i="2"/>
  <c r="O69" i="2" s="1"/>
  <c r="P63" i="2"/>
  <c r="P69" i="2" s="1"/>
  <c r="Q63" i="2"/>
  <c r="Q69" i="2" s="1"/>
  <c r="R63" i="2"/>
  <c r="R69" i="2" s="1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R27" i="2"/>
  <c r="Q27" i="2"/>
  <c r="P27" i="2"/>
  <c r="O27" i="2"/>
  <c r="N27" i="2"/>
  <c r="M27" i="2"/>
  <c r="L27" i="2"/>
  <c r="K27" i="2"/>
  <c r="J27" i="2"/>
  <c r="I27" i="2"/>
  <c r="H27" i="2"/>
  <c r="C49" i="2"/>
  <c r="D43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D35" i="2"/>
  <c r="C35" i="2"/>
  <c r="C28" i="2"/>
  <c r="C26" i="2"/>
  <c r="D20" i="2"/>
  <c r="C20" i="2"/>
  <c r="D13" i="2"/>
  <c r="R143" i="2" l="1"/>
  <c r="H143" i="2"/>
  <c r="I143" i="2"/>
  <c r="I142" i="2" s="1"/>
  <c r="K143" i="2"/>
  <c r="F69" i="2"/>
  <c r="F68" i="2" s="1"/>
  <c r="K156" i="2"/>
  <c r="L156" i="2"/>
  <c r="I156" i="2"/>
  <c r="O110" i="2"/>
  <c r="P110" i="2"/>
  <c r="Q110" i="2"/>
  <c r="H111" i="2"/>
  <c r="H110" i="2" s="1"/>
  <c r="I110" i="2"/>
  <c r="J110" i="2"/>
  <c r="N112" i="2"/>
  <c r="N110" i="2"/>
  <c r="M112" i="2"/>
  <c r="M110" i="2"/>
  <c r="K112" i="2"/>
  <c r="K110" i="2"/>
  <c r="L112" i="2"/>
  <c r="L110" i="2"/>
  <c r="L97" i="2"/>
  <c r="L96" i="2"/>
  <c r="L95" i="2" s="1"/>
  <c r="N97" i="2"/>
  <c r="N96" i="2"/>
  <c r="N95" i="2" s="1"/>
  <c r="P97" i="2"/>
  <c r="P96" i="2"/>
  <c r="P95" i="2" s="1"/>
  <c r="K97" i="2"/>
  <c r="K96" i="2"/>
  <c r="K95" i="2" s="1"/>
  <c r="J97" i="2"/>
  <c r="J96" i="2"/>
  <c r="J95" i="2" s="1"/>
  <c r="Q68" i="2"/>
  <c r="Q67" i="2"/>
  <c r="Q66" i="2" s="1"/>
  <c r="I82" i="2"/>
  <c r="I81" i="2" s="1"/>
  <c r="G143" i="2"/>
  <c r="G141" i="2" s="1"/>
  <c r="F82" i="2"/>
  <c r="F81" i="2" s="1"/>
  <c r="J143" i="2"/>
  <c r="J142" i="2" s="1"/>
  <c r="G82" i="2"/>
  <c r="G81" i="2" s="1"/>
  <c r="O68" i="2"/>
  <c r="O67" i="2"/>
  <c r="O66" i="2" s="1"/>
  <c r="N68" i="2"/>
  <c r="N67" i="2"/>
  <c r="N66" i="2" s="1"/>
  <c r="L68" i="2"/>
  <c r="L67" i="2"/>
  <c r="L66" i="2" s="1"/>
  <c r="P83" i="2"/>
  <c r="P82" i="2"/>
  <c r="P81" i="2" s="1"/>
  <c r="P68" i="2"/>
  <c r="P67" i="2"/>
  <c r="P66" i="2" s="1"/>
  <c r="K68" i="2"/>
  <c r="K67" i="2"/>
  <c r="K66" i="2" s="1"/>
  <c r="O83" i="2"/>
  <c r="O82" i="2"/>
  <c r="O81" i="2" s="1"/>
  <c r="H82" i="2"/>
  <c r="H81" i="2" s="1"/>
  <c r="J68" i="2"/>
  <c r="J67" i="2"/>
  <c r="J66" i="2" s="1"/>
  <c r="N83" i="2"/>
  <c r="N82" i="2"/>
  <c r="N81" i="2" s="1"/>
  <c r="R68" i="2"/>
  <c r="R67" i="2"/>
  <c r="R66" i="2" s="1"/>
  <c r="M68" i="2"/>
  <c r="M67" i="2"/>
  <c r="M66" i="2" s="1"/>
  <c r="I68" i="2"/>
  <c r="I67" i="2"/>
  <c r="I66" i="2" s="1"/>
  <c r="M83" i="2"/>
  <c r="M82" i="2"/>
  <c r="M81" i="2" s="1"/>
  <c r="H68" i="2"/>
  <c r="H67" i="2"/>
  <c r="H66" i="2" s="1"/>
  <c r="L143" i="2"/>
  <c r="L142" i="2" s="1"/>
  <c r="M143" i="2"/>
  <c r="M142" i="2" s="1"/>
  <c r="N143" i="2"/>
  <c r="N141" i="2" s="1"/>
  <c r="O143" i="2"/>
  <c r="O141" i="2" s="1"/>
  <c r="P143" i="2"/>
  <c r="P141" i="2" s="1"/>
  <c r="G69" i="2"/>
  <c r="Q143" i="2"/>
  <c r="Q141" i="2" s="1"/>
  <c r="H128" i="2"/>
  <c r="H126" i="2" s="1"/>
  <c r="H125" i="2" s="1"/>
  <c r="I128" i="2"/>
  <c r="I126" i="2" s="1"/>
  <c r="I125" i="2" s="1"/>
  <c r="L128" i="2"/>
  <c r="L126" i="2" s="1"/>
  <c r="L125" i="2" s="1"/>
  <c r="M128" i="2"/>
  <c r="M126" i="2" s="1"/>
  <c r="M125" i="2" s="1"/>
  <c r="N128" i="2"/>
  <c r="N126" i="2" s="1"/>
  <c r="N125" i="2" s="1"/>
  <c r="J128" i="2"/>
  <c r="J126" i="2" s="1"/>
  <c r="J125" i="2" s="1"/>
  <c r="K128" i="2"/>
  <c r="K126" i="2" s="1"/>
  <c r="K125" i="2" s="1"/>
  <c r="O128" i="2"/>
  <c r="O126" i="2" s="1"/>
  <c r="O125" i="2" s="1"/>
  <c r="P128" i="2"/>
  <c r="P126" i="2" s="1"/>
  <c r="P125" i="2" s="1"/>
  <c r="Q128" i="2"/>
  <c r="Q126" i="2" s="1"/>
  <c r="Q125" i="2" s="1"/>
  <c r="F128" i="2"/>
  <c r="F126" i="2" s="1"/>
  <c r="F125" i="2" s="1"/>
  <c r="R128" i="2"/>
  <c r="R126" i="2" s="1"/>
  <c r="R125" i="2" s="1"/>
  <c r="G128" i="2"/>
  <c r="G126" i="2" s="1"/>
  <c r="G125" i="2" s="1"/>
  <c r="I197" i="2"/>
  <c r="D198" i="2"/>
  <c r="H85" i="2"/>
  <c r="L85" i="2"/>
  <c r="J85" i="2"/>
  <c r="K85" i="2"/>
  <c r="M85" i="2"/>
  <c r="Q85" i="2"/>
  <c r="I173" i="2"/>
  <c r="F85" i="2"/>
  <c r="G85" i="2"/>
  <c r="P187" i="2"/>
  <c r="P173" i="2"/>
  <c r="Q187" i="2"/>
  <c r="P85" i="2"/>
  <c r="F187" i="2"/>
  <c r="F183" i="2" s="1"/>
  <c r="N228" i="2"/>
  <c r="N226" i="2" s="1"/>
  <c r="N227" i="2"/>
  <c r="I144" i="2"/>
  <c r="I140" i="2" s="1"/>
  <c r="Q173" i="2"/>
  <c r="I85" i="2"/>
  <c r="J144" i="2"/>
  <c r="N187" i="2"/>
  <c r="N183" i="2" s="1"/>
  <c r="K144" i="2"/>
  <c r="C212" i="2"/>
  <c r="L144" i="2"/>
  <c r="D212" i="2"/>
  <c r="N85" i="2"/>
  <c r="O144" i="2"/>
  <c r="G187" i="2"/>
  <c r="O85" i="2"/>
  <c r="L173" i="2"/>
  <c r="L169" i="2" s="1"/>
  <c r="Q144" i="2"/>
  <c r="M173" i="2"/>
  <c r="M169" i="2" s="1"/>
  <c r="F144" i="2"/>
  <c r="F140" i="2" s="1"/>
  <c r="N173" i="2"/>
  <c r="N169" i="2" s="1"/>
  <c r="M144" i="2"/>
  <c r="N144" i="2"/>
  <c r="J173" i="2"/>
  <c r="G144" i="2"/>
  <c r="K187" i="2"/>
  <c r="K183" i="2" s="1"/>
  <c r="D225" i="2"/>
  <c r="C225" i="2"/>
  <c r="K226" i="2"/>
  <c r="L226" i="2"/>
  <c r="I227" i="2"/>
  <c r="I228" i="2"/>
  <c r="I226" i="2" s="1"/>
  <c r="J228" i="2"/>
  <c r="J226" i="2" s="1"/>
  <c r="J227" i="2"/>
  <c r="M228" i="2"/>
  <c r="M226" i="2" s="1"/>
  <c r="M227" i="2"/>
  <c r="O227" i="2"/>
  <c r="O228" i="2"/>
  <c r="O226" i="2" s="1"/>
  <c r="P227" i="2"/>
  <c r="P228" i="2"/>
  <c r="P226" i="2" s="1"/>
  <c r="Q227" i="2"/>
  <c r="Q228" i="2"/>
  <c r="Q226" i="2" s="1"/>
  <c r="F227" i="2"/>
  <c r="F228" i="2"/>
  <c r="F226" i="2" s="1"/>
  <c r="R227" i="2"/>
  <c r="R228" i="2"/>
  <c r="R226" i="2" s="1"/>
  <c r="G228" i="2"/>
  <c r="G226" i="2" s="1"/>
  <c r="G227" i="2"/>
  <c r="H227" i="2"/>
  <c r="K227" i="2"/>
  <c r="L227" i="2"/>
  <c r="K197" i="2"/>
  <c r="L197" i="2"/>
  <c r="N197" i="2"/>
  <c r="D210" i="2"/>
  <c r="E210" i="2" s="1"/>
  <c r="F210" i="2" s="1"/>
  <c r="G210" i="2" s="1"/>
  <c r="H210" i="2" s="1"/>
  <c r="I210" i="2" s="1"/>
  <c r="J210" i="2" s="1"/>
  <c r="K210" i="2" s="1"/>
  <c r="L210" i="2" s="1"/>
  <c r="M210" i="2" s="1"/>
  <c r="N210" i="2" s="1"/>
  <c r="O210" i="2" s="1"/>
  <c r="P210" i="2" s="1"/>
  <c r="Q210" i="2" s="1"/>
  <c r="R210" i="2" s="1"/>
  <c r="R214" i="2" s="1"/>
  <c r="C210" i="2"/>
  <c r="C182" i="2"/>
  <c r="D182" i="2"/>
  <c r="D196" i="2"/>
  <c r="C198" i="2"/>
  <c r="C196" i="2"/>
  <c r="I198" i="2"/>
  <c r="J199" i="2"/>
  <c r="J197" i="2" s="1"/>
  <c r="J198" i="2"/>
  <c r="F199" i="2"/>
  <c r="F197" i="2" s="1"/>
  <c r="F198" i="2"/>
  <c r="R199" i="2"/>
  <c r="R197" i="2" s="1"/>
  <c r="R198" i="2"/>
  <c r="M199" i="2"/>
  <c r="M197" i="2" s="1"/>
  <c r="M198" i="2"/>
  <c r="O198" i="2"/>
  <c r="O199" i="2"/>
  <c r="O197" i="2" s="1"/>
  <c r="P198" i="2"/>
  <c r="P199" i="2"/>
  <c r="P197" i="2" s="1"/>
  <c r="Q199" i="2"/>
  <c r="Q197" i="2" s="1"/>
  <c r="Q198" i="2"/>
  <c r="G199" i="2"/>
  <c r="G197" i="2" s="1"/>
  <c r="G198" i="2"/>
  <c r="H199" i="2"/>
  <c r="H197" i="2" s="1"/>
  <c r="H198" i="2"/>
  <c r="K198" i="2"/>
  <c r="L198" i="2"/>
  <c r="N198" i="2"/>
  <c r="D170" i="2"/>
  <c r="L183" i="2"/>
  <c r="M183" i="2"/>
  <c r="D184" i="2"/>
  <c r="C184" i="2"/>
  <c r="J185" i="2"/>
  <c r="J183" i="2" s="1"/>
  <c r="J184" i="2"/>
  <c r="G185" i="2"/>
  <c r="G184" i="2"/>
  <c r="H185" i="2"/>
  <c r="H183" i="2" s="1"/>
  <c r="H184" i="2"/>
  <c r="I185" i="2"/>
  <c r="I183" i="2" s="1"/>
  <c r="I184" i="2"/>
  <c r="O184" i="2"/>
  <c r="O185" i="2"/>
  <c r="O183" i="2" s="1"/>
  <c r="P184" i="2"/>
  <c r="P185" i="2"/>
  <c r="Q185" i="2"/>
  <c r="Q184" i="2"/>
  <c r="F184" i="2"/>
  <c r="R185" i="2"/>
  <c r="R183" i="2" s="1"/>
  <c r="R184" i="2"/>
  <c r="K184" i="2"/>
  <c r="L184" i="2"/>
  <c r="M184" i="2"/>
  <c r="N184" i="2"/>
  <c r="C139" i="2"/>
  <c r="C141" i="2"/>
  <c r="C170" i="2"/>
  <c r="D168" i="2"/>
  <c r="F170" i="2"/>
  <c r="F171" i="2"/>
  <c r="F169" i="2" s="1"/>
  <c r="R170" i="2"/>
  <c r="R171" i="2"/>
  <c r="R169" i="2" s="1"/>
  <c r="H171" i="2"/>
  <c r="H169" i="2" s="1"/>
  <c r="H170" i="2"/>
  <c r="I171" i="2"/>
  <c r="I170" i="2"/>
  <c r="J171" i="2"/>
  <c r="J170" i="2"/>
  <c r="K171" i="2"/>
  <c r="K169" i="2" s="1"/>
  <c r="K170" i="2"/>
  <c r="G170" i="2"/>
  <c r="G171" i="2"/>
  <c r="G169" i="2" s="1"/>
  <c r="O170" i="2"/>
  <c r="O171" i="2"/>
  <c r="O169" i="2" s="1"/>
  <c r="P170" i="2"/>
  <c r="P171" i="2"/>
  <c r="Q171" i="2"/>
  <c r="Q170" i="2"/>
  <c r="C168" i="2"/>
  <c r="L170" i="2"/>
  <c r="M170" i="2"/>
  <c r="N170" i="2"/>
  <c r="C155" i="2"/>
  <c r="D155" i="2"/>
  <c r="D124" i="2"/>
  <c r="H156" i="2"/>
  <c r="G156" i="2"/>
  <c r="M156" i="2"/>
  <c r="P156" i="2"/>
  <c r="Q156" i="2"/>
  <c r="F156" i="2"/>
  <c r="R156" i="2"/>
  <c r="J156" i="2"/>
  <c r="N156" i="2"/>
  <c r="O156" i="2"/>
  <c r="C153" i="2"/>
  <c r="D153" i="2"/>
  <c r="C124" i="2"/>
  <c r="D96" i="2"/>
  <c r="D141" i="2"/>
  <c r="K142" i="2"/>
  <c r="C126" i="2"/>
  <c r="F141" i="2"/>
  <c r="R142" i="2"/>
  <c r="R140" i="2" s="1"/>
  <c r="R141" i="2"/>
  <c r="H142" i="2"/>
  <c r="H140" i="2" s="1"/>
  <c r="H141" i="2"/>
  <c r="I141" i="2"/>
  <c r="D139" i="2"/>
  <c r="K141" i="2"/>
  <c r="D109" i="2"/>
  <c r="D126" i="2"/>
  <c r="C111" i="2"/>
  <c r="D111" i="2"/>
  <c r="C109" i="2"/>
  <c r="I112" i="2"/>
  <c r="G112" i="2"/>
  <c r="J112" i="2"/>
  <c r="O112" i="2"/>
  <c r="H112" i="2"/>
  <c r="P112" i="2"/>
  <c r="Q112" i="2"/>
  <c r="F111" i="2"/>
  <c r="F112" i="2"/>
  <c r="F110" i="2" s="1"/>
  <c r="R112" i="2"/>
  <c r="L83" i="2"/>
  <c r="C96" i="2"/>
  <c r="D94" i="2"/>
  <c r="C94" i="2"/>
  <c r="G97" i="2"/>
  <c r="H97" i="2"/>
  <c r="M97" i="2"/>
  <c r="Q97" i="2"/>
  <c r="F97" i="2"/>
  <c r="R97" i="2"/>
  <c r="I97" i="2"/>
  <c r="O97" i="2"/>
  <c r="J83" i="2"/>
  <c r="I83" i="2"/>
  <c r="H83" i="2"/>
  <c r="G83" i="2"/>
  <c r="R83" i="2"/>
  <c r="F83" i="2"/>
  <c r="Q83" i="2"/>
  <c r="K83" i="2"/>
  <c r="R213" i="2" l="1"/>
  <c r="R212" i="2"/>
  <c r="R211" i="2" s="1"/>
  <c r="O127" i="2"/>
  <c r="N142" i="2"/>
  <c r="N140" i="2" s="1"/>
  <c r="M141" i="2"/>
  <c r="F67" i="2"/>
  <c r="F66" i="2" s="1"/>
  <c r="P142" i="2"/>
  <c r="P140" i="2" s="1"/>
  <c r="L127" i="2"/>
  <c r="I127" i="2"/>
  <c r="H127" i="2"/>
  <c r="R127" i="2"/>
  <c r="F127" i="2"/>
  <c r="Q127" i="2"/>
  <c r="K127" i="2"/>
  <c r="N127" i="2"/>
  <c r="M127" i="2"/>
  <c r="J127" i="2"/>
  <c r="G142" i="2"/>
  <c r="G140" i="2" s="1"/>
  <c r="P127" i="2"/>
  <c r="L141" i="2"/>
  <c r="J141" i="2"/>
  <c r="G68" i="2"/>
  <c r="G67" i="2"/>
  <c r="G66" i="2" s="1"/>
  <c r="Q142" i="2"/>
  <c r="Q140" i="2" s="1"/>
  <c r="G127" i="2"/>
  <c r="I214" i="2"/>
  <c r="H214" i="2"/>
  <c r="K214" i="2"/>
  <c r="G214" i="2"/>
  <c r="L214" i="2"/>
  <c r="N214" i="2"/>
  <c r="J214" i="2"/>
  <c r="F214" i="2"/>
  <c r="O142" i="2"/>
  <c r="O140" i="2" s="1"/>
  <c r="P214" i="2"/>
  <c r="Q214" i="2"/>
  <c r="M214" i="2"/>
  <c r="O214" i="2"/>
  <c r="L140" i="2"/>
  <c r="G183" i="2"/>
  <c r="Q169" i="2"/>
  <c r="I169" i="2"/>
  <c r="J140" i="2"/>
  <c r="Q183" i="2"/>
  <c r="P169" i="2"/>
  <c r="P183" i="2"/>
  <c r="J169" i="2"/>
  <c r="K140" i="2"/>
  <c r="M140" i="2"/>
  <c r="P213" i="2" l="1"/>
  <c r="P212" i="2"/>
  <c r="P211" i="2" s="1"/>
  <c r="F213" i="2"/>
  <c r="F212" i="2"/>
  <c r="F211" i="2" s="1"/>
  <c r="N213" i="2"/>
  <c r="N212" i="2"/>
  <c r="N211" i="2" s="1"/>
  <c r="O213" i="2"/>
  <c r="O212" i="2"/>
  <c r="O211" i="2" s="1"/>
  <c r="Q213" i="2"/>
  <c r="Q212" i="2"/>
  <c r="Q211" i="2" s="1"/>
  <c r="J213" i="2"/>
  <c r="J212" i="2"/>
  <c r="J211" i="2" s="1"/>
  <c r="L213" i="2"/>
  <c r="L212" i="2"/>
  <c r="L211" i="2" s="1"/>
  <c r="G213" i="2"/>
  <c r="G212" i="2"/>
  <c r="G211" i="2" s="1"/>
  <c r="K213" i="2"/>
  <c r="K212" i="2"/>
  <c r="K211" i="2" s="1"/>
  <c r="H213" i="2"/>
  <c r="H212" i="2"/>
  <c r="H211" i="2" s="1"/>
  <c r="I213" i="2"/>
  <c r="I212" i="2"/>
  <c r="I211" i="2" s="1"/>
  <c r="M213" i="2"/>
  <c r="M212" i="2"/>
  <c r="M211" i="2" s="1"/>
  <c r="D11" i="2"/>
  <c r="E5" i="2"/>
  <c r="E7" i="2" s="1"/>
  <c r="F7" i="2" s="1"/>
  <c r="G7" i="2" s="1"/>
  <c r="H7" i="2" s="1"/>
  <c r="I7" i="2" s="1"/>
  <c r="J7" i="2" s="1"/>
  <c r="K7" i="2" s="1"/>
  <c r="L7" i="2" s="1"/>
  <c r="M7" i="2" s="1"/>
  <c r="N7" i="2" s="1"/>
  <c r="O7" i="2" s="1"/>
  <c r="P7" i="2" s="1"/>
  <c r="Q7" i="2" s="1"/>
  <c r="R7" i="2" s="1"/>
  <c r="F5" i="2"/>
  <c r="G5" i="2"/>
  <c r="H5" i="2"/>
  <c r="I5" i="2"/>
  <c r="J5" i="2"/>
  <c r="K5" i="2"/>
  <c r="L5" i="2"/>
  <c r="M5" i="2"/>
  <c r="N5" i="2"/>
  <c r="O5" i="2"/>
  <c r="P5" i="2"/>
  <c r="Q5" i="2"/>
  <c r="R5" i="2"/>
  <c r="C5" i="2"/>
  <c r="D63" i="2"/>
  <c r="C63" i="2"/>
  <c r="I11" i="2" l="1"/>
  <c r="I9" i="2" s="1"/>
  <c r="I8" i="2" s="1"/>
  <c r="L11" i="2"/>
  <c r="L9" i="2" s="1"/>
  <c r="L8" i="2" s="1"/>
  <c r="M11" i="2"/>
  <c r="M9" i="2" s="1"/>
  <c r="M8" i="2" s="1"/>
  <c r="J11" i="2"/>
  <c r="J9" i="2" s="1"/>
  <c r="J8" i="2" s="1"/>
  <c r="N11" i="2"/>
  <c r="N9" i="2" s="1"/>
  <c r="N8" i="2" s="1"/>
  <c r="K11" i="2"/>
  <c r="K9" i="2" s="1"/>
  <c r="K8" i="2" s="1"/>
  <c r="H11" i="2"/>
  <c r="H9" i="2" s="1"/>
  <c r="H8" i="2" s="1"/>
  <c r="C237" i="2"/>
  <c r="G11" i="2"/>
  <c r="G9" i="2" s="1"/>
  <c r="G8" i="2" s="1"/>
  <c r="R11" i="2"/>
  <c r="R9" i="2" s="1"/>
  <c r="R8" i="2" s="1"/>
  <c r="F11" i="2"/>
  <c r="F9" i="2" s="1"/>
  <c r="F8" i="2" s="1"/>
  <c r="Q11" i="2"/>
  <c r="Q9" i="2" s="1"/>
  <c r="Q8" i="2" s="1"/>
  <c r="P11" i="2"/>
  <c r="P9" i="2" s="1"/>
  <c r="P8" i="2" s="1"/>
  <c r="O11" i="2"/>
  <c r="O9" i="2" s="1"/>
  <c r="O8" i="2" s="1"/>
  <c r="D84" i="2"/>
  <c r="C84" i="2"/>
  <c r="C71" i="2"/>
  <c r="C66" i="2"/>
  <c r="D57" i="2"/>
  <c r="C69" i="2"/>
  <c r="C65" i="2" s="1"/>
  <c r="C52" i="2"/>
  <c r="C55" i="2"/>
  <c r="C38" i="2"/>
  <c r="C43" i="2"/>
  <c r="C41" i="2"/>
  <c r="C37" i="2" s="1"/>
  <c r="N10" i="2" l="1"/>
  <c r="Q10" i="2"/>
  <c r="R10" i="2"/>
  <c r="O10" i="2"/>
  <c r="G10" i="2"/>
  <c r="M10" i="2"/>
  <c r="L10" i="2"/>
  <c r="K10" i="2"/>
  <c r="F10" i="2"/>
  <c r="J10" i="2"/>
  <c r="P10" i="2"/>
  <c r="H10" i="2"/>
  <c r="I10" i="2"/>
  <c r="D82" i="2"/>
  <c r="C67" i="2"/>
  <c r="C80" i="2"/>
  <c r="C82" i="2"/>
  <c r="C81" i="2"/>
  <c r="C39" i="2"/>
  <c r="C53" i="2"/>
  <c r="C51" i="2"/>
  <c r="C23" i="2"/>
  <c r="C8" i="2"/>
  <c r="F56" i="2" l="1"/>
  <c r="C239" i="2"/>
  <c r="D22" i="2"/>
  <c r="C24" i="2"/>
  <c r="C22" i="2"/>
  <c r="G27" i="2" l="1"/>
  <c r="F27" i="2"/>
  <c r="G56" i="2"/>
  <c r="F12" i="2"/>
  <c r="H56" i="2" l="1"/>
  <c r="G12" i="2"/>
  <c r="I56" i="2" l="1"/>
  <c r="H12" i="2"/>
  <c r="J56" i="2" l="1"/>
  <c r="I12" i="2"/>
  <c r="K56" i="2" l="1"/>
  <c r="J12" i="2"/>
  <c r="C11" i="2"/>
  <c r="C242" i="2" s="1"/>
  <c r="C9" i="2"/>
  <c r="C240" i="2" s="1"/>
  <c r="C246" i="2" l="1"/>
  <c r="C250" i="2"/>
  <c r="C251" i="2" s="1"/>
  <c r="L56" i="2"/>
  <c r="K12" i="2"/>
  <c r="C13" i="2"/>
  <c r="M56" i="2" l="1"/>
  <c r="L12" i="2"/>
  <c r="N56" i="2" l="1"/>
  <c r="M12" i="2"/>
  <c r="O56" i="2" l="1"/>
  <c r="N12" i="2"/>
  <c r="D55" i="2"/>
  <c r="D53" i="2" s="1"/>
  <c r="D52" i="2"/>
  <c r="P56" i="2" l="1"/>
  <c r="O12" i="2"/>
  <c r="D81" i="2"/>
  <c r="D66" i="2"/>
  <c r="D69" i="2"/>
  <c r="D41" i="2"/>
  <c r="D38" i="2"/>
  <c r="D23" i="2"/>
  <c r="D242" i="2" l="1"/>
  <c r="R56" i="2"/>
  <c r="Q56" i="2"/>
  <c r="P12" i="2"/>
  <c r="D65" i="2"/>
  <c r="D39" i="2"/>
  <c r="D67" i="2"/>
  <c r="D80" i="2"/>
  <c r="D37" i="2"/>
  <c r="E37" i="2" s="1"/>
  <c r="F37" i="2" s="1"/>
  <c r="G37" i="2" s="1"/>
  <c r="H37" i="2" s="1"/>
  <c r="I37" i="2" s="1"/>
  <c r="J37" i="2" s="1"/>
  <c r="K37" i="2" s="1"/>
  <c r="L37" i="2" s="1"/>
  <c r="M37" i="2" s="1"/>
  <c r="N37" i="2" s="1"/>
  <c r="O37" i="2" s="1"/>
  <c r="P37" i="2" s="1"/>
  <c r="Q12" i="2" l="1"/>
  <c r="R12" i="2" l="1"/>
  <c r="D240" i="2" l="1"/>
  <c r="D239" i="2"/>
  <c r="D250" i="2" l="1"/>
  <c r="C7" i="2"/>
  <c r="D5" i="2"/>
  <c r="D7" i="2" l="1"/>
  <c r="E20" i="2" l="1"/>
  <c r="E22" i="2" s="1"/>
  <c r="F22" i="2" s="1"/>
  <c r="G22" i="2" s="1"/>
  <c r="H22" i="2" s="1"/>
  <c r="I22" i="2" s="1"/>
  <c r="J22" i="2" s="1"/>
  <c r="K22" i="2" s="1"/>
  <c r="L22" i="2" s="1"/>
  <c r="M22" i="2" s="1"/>
  <c r="N22" i="2" s="1"/>
  <c r="O22" i="2" s="1"/>
  <c r="P22" i="2" s="1"/>
  <c r="Q22" i="2" s="1"/>
  <c r="R22" i="2" s="1"/>
  <c r="J20" i="2" l="1"/>
  <c r="H20" i="2"/>
  <c r="R20" i="2"/>
  <c r="I20" i="2"/>
  <c r="Q20" i="2"/>
  <c r="N20" i="2"/>
  <c r="M20" i="2"/>
  <c r="G20" i="2"/>
  <c r="K20" i="2"/>
  <c r="O20" i="2"/>
  <c r="L20" i="2"/>
  <c r="F20" i="2"/>
  <c r="P20" i="2"/>
  <c r="Q26" i="2" l="1"/>
  <c r="Q24" i="2" s="1"/>
  <c r="Q23" i="2" s="1"/>
  <c r="G26" i="2"/>
  <c r="G24" i="2" s="1"/>
  <c r="G23" i="2" s="1"/>
  <c r="P26" i="2"/>
  <c r="P24" i="2" s="1"/>
  <c r="P23" i="2" s="1"/>
  <c r="M26" i="2"/>
  <c r="M24" i="2" s="1"/>
  <c r="M23" i="2" s="1"/>
  <c r="L26" i="2"/>
  <c r="L24" i="2" s="1"/>
  <c r="L23" i="2" s="1"/>
  <c r="N26" i="2"/>
  <c r="N24" i="2" s="1"/>
  <c r="N23" i="2" s="1"/>
  <c r="H26" i="2"/>
  <c r="H24" i="2" s="1"/>
  <c r="H23" i="2" s="1"/>
  <c r="O26" i="2"/>
  <c r="O24" i="2" s="1"/>
  <c r="O23" i="2" s="1"/>
  <c r="I26" i="2"/>
  <c r="I24" i="2" s="1"/>
  <c r="I23" i="2" s="1"/>
  <c r="R26" i="2"/>
  <c r="R24" i="2" s="1"/>
  <c r="R23" i="2" s="1"/>
  <c r="J26" i="2"/>
  <c r="J24" i="2" s="1"/>
  <c r="J23" i="2" s="1"/>
  <c r="F26" i="2"/>
  <c r="F24" i="2" s="1"/>
  <c r="F23" i="2" s="1"/>
  <c r="K26" i="2"/>
  <c r="K24" i="2" s="1"/>
  <c r="K23" i="2" s="1"/>
  <c r="D49" i="2"/>
  <c r="F49" i="2"/>
  <c r="F55" i="2" s="1"/>
  <c r="F54" i="2" l="1"/>
  <c r="F53" i="2"/>
  <c r="F52" i="2" s="1"/>
  <c r="F237" i="2"/>
  <c r="L25" i="2"/>
  <c r="I25" i="2"/>
  <c r="R25" i="2"/>
  <c r="G25" i="2"/>
  <c r="N25" i="2"/>
  <c r="E237" i="2"/>
  <c r="D51" i="2"/>
  <c r="D237" i="2"/>
  <c r="F25" i="2"/>
  <c r="J25" i="2"/>
  <c r="K25" i="2"/>
  <c r="M25" i="2"/>
  <c r="P25" i="2"/>
  <c r="O25" i="2"/>
  <c r="H25" i="2"/>
  <c r="Q25" i="2"/>
  <c r="G49" i="2"/>
  <c r="G55" i="2" l="1"/>
  <c r="G53" i="2" s="1"/>
  <c r="G52" i="2" s="1"/>
  <c r="G237" i="2"/>
  <c r="H49" i="2"/>
  <c r="H55" i="2" l="1"/>
  <c r="H53" i="2" s="1"/>
  <c r="H52" i="2" s="1"/>
  <c r="H237" i="2"/>
  <c r="G54" i="2"/>
  <c r="I49" i="2"/>
  <c r="I55" i="2" l="1"/>
  <c r="I53" i="2" s="1"/>
  <c r="I52" i="2" s="1"/>
  <c r="I237" i="2"/>
  <c r="H54" i="2"/>
  <c r="J49" i="2"/>
  <c r="J55" i="2" l="1"/>
  <c r="J53" i="2" s="1"/>
  <c r="J52" i="2" s="1"/>
  <c r="J237" i="2"/>
  <c r="I54" i="2"/>
  <c r="K49" i="2"/>
  <c r="K55" i="2" l="1"/>
  <c r="K53" i="2" s="1"/>
  <c r="K52" i="2" s="1"/>
  <c r="K237" i="2"/>
  <c r="J54" i="2"/>
  <c r="L49" i="2"/>
  <c r="L55" i="2" l="1"/>
  <c r="L53" i="2" s="1"/>
  <c r="L52" i="2" s="1"/>
  <c r="L237" i="2"/>
  <c r="K54" i="2"/>
  <c r="M49" i="2"/>
  <c r="M55" i="2" l="1"/>
  <c r="M53" i="2" s="1"/>
  <c r="M52" i="2" s="1"/>
  <c r="M237" i="2"/>
  <c r="L54" i="2"/>
  <c r="N49" i="2"/>
  <c r="N55" i="2" l="1"/>
  <c r="N53" i="2" s="1"/>
  <c r="N52" i="2" s="1"/>
  <c r="N237" i="2"/>
  <c r="M54" i="2"/>
  <c r="O49" i="2"/>
  <c r="O55" i="2" l="1"/>
  <c r="O53" i="2" s="1"/>
  <c r="O52" i="2" s="1"/>
  <c r="O237" i="2"/>
  <c r="N54" i="2"/>
  <c r="R49" i="2"/>
  <c r="P49" i="2"/>
  <c r="Q49" i="2"/>
  <c r="Q55" i="2" l="1"/>
  <c r="Q53" i="2" s="1"/>
  <c r="Q52" i="2" s="1"/>
  <c r="Q237" i="2"/>
  <c r="P55" i="2"/>
  <c r="P53" i="2" s="1"/>
  <c r="P52" i="2" s="1"/>
  <c r="P237" i="2"/>
  <c r="R55" i="2"/>
  <c r="R53" i="2" s="1"/>
  <c r="R52" i="2" s="1"/>
  <c r="R237" i="2"/>
  <c r="O54" i="2"/>
  <c r="F215" i="2"/>
  <c r="I215" i="2"/>
  <c r="O215" i="2"/>
  <c r="Q215" i="2"/>
  <c r="G215" i="2"/>
  <c r="M215" i="2"/>
  <c r="R215" i="2"/>
  <c r="K215" i="2"/>
  <c r="L215" i="2"/>
  <c r="H215" i="2"/>
  <c r="J215" i="2"/>
  <c r="N215" i="2"/>
  <c r="P215" i="2"/>
  <c r="R54" i="2" l="1"/>
  <c r="P54" i="2"/>
  <c r="Q54" i="2"/>
  <c r="E242" i="2" l="1"/>
  <c r="E8" i="2"/>
  <c r="E9" i="2" s="1"/>
  <c r="E244" i="2"/>
  <c r="E245" i="2" s="1"/>
  <c r="E243" i="2"/>
  <c r="Q41" i="2" l="1"/>
  <c r="P41" i="2"/>
  <c r="O41" i="2"/>
  <c r="N41" i="2"/>
  <c r="K41" i="2"/>
  <c r="L41" i="2"/>
  <c r="J41" i="2"/>
  <c r="M41" i="2"/>
  <c r="I41" i="2"/>
  <c r="H41" i="2"/>
  <c r="G41" i="2"/>
  <c r="R41" i="2"/>
  <c r="R242" i="2" s="1"/>
  <c r="R241" i="2" s="1"/>
  <c r="F41" i="2"/>
  <c r="K242" i="2" l="1"/>
  <c r="K241" i="2" s="1"/>
  <c r="K39" i="2"/>
  <c r="K38" i="2" s="1"/>
  <c r="H40" i="2"/>
  <c r="H39" i="2"/>
  <c r="H38" i="2" s="1"/>
  <c r="I242" i="2"/>
  <c r="I241" i="2" s="1"/>
  <c r="I39" i="2"/>
  <c r="I38" i="2" s="1"/>
  <c r="M242" i="2"/>
  <c r="M241" i="2" s="1"/>
  <c r="M39" i="2"/>
  <c r="M38" i="2" s="1"/>
  <c r="J40" i="2"/>
  <c r="J39" i="2"/>
  <c r="J38" i="2" s="1"/>
  <c r="L242" i="2"/>
  <c r="L241" i="2" s="1"/>
  <c r="L39" i="2"/>
  <c r="L38" i="2" s="1"/>
  <c r="N40" i="2"/>
  <c r="N39" i="2"/>
  <c r="N38" i="2" s="1"/>
  <c r="O40" i="2"/>
  <c r="O39" i="2"/>
  <c r="O38" i="2" s="1"/>
  <c r="F242" i="2"/>
  <c r="F241" i="2" s="1"/>
  <c r="F39" i="2"/>
  <c r="F38" i="2" s="1"/>
  <c r="P242" i="2"/>
  <c r="P241" i="2" s="1"/>
  <c r="P39" i="2"/>
  <c r="P38" i="2" s="1"/>
  <c r="Q242" i="2"/>
  <c r="Q241" i="2" s="1"/>
  <c r="Q39" i="2"/>
  <c r="Q38" i="2" s="1"/>
  <c r="R40" i="2"/>
  <c r="R39" i="2"/>
  <c r="R38" i="2" s="1"/>
  <c r="G242" i="2"/>
  <c r="G241" i="2" s="1"/>
  <c r="G39" i="2"/>
  <c r="G38" i="2" s="1"/>
  <c r="N242" i="2"/>
  <c r="N241" i="2" s="1"/>
  <c r="O242" i="2"/>
  <c r="O241" i="2" s="1"/>
  <c r="G40" i="2"/>
  <c r="L40" i="2"/>
  <c r="H242" i="2"/>
  <c r="H241" i="2" s="1"/>
  <c r="P40" i="2"/>
  <c r="J242" i="2"/>
  <c r="J241" i="2" s="1"/>
  <c r="Q40" i="2"/>
  <c r="M40" i="2"/>
  <c r="I40" i="2"/>
  <c r="F40" i="2"/>
  <c r="K40" i="2"/>
  <c r="F99" i="2" l="1"/>
  <c r="G99" i="2" l="1"/>
  <c r="I99" i="2" l="1"/>
  <c r="J99" i="2"/>
  <c r="H99" i="2"/>
  <c r="N99" i="2"/>
  <c r="L99" i="2"/>
  <c r="M99" i="2"/>
  <c r="K99" i="2"/>
  <c r="O99" i="2"/>
  <c r="P99" i="2"/>
  <c r="P239" i="2" s="1"/>
  <c r="P244" i="2" l="1"/>
  <c r="Q244" i="2"/>
  <c r="P240" i="2"/>
  <c r="P262" i="2" s="1"/>
  <c r="F240" i="2"/>
  <c r="F158" i="2"/>
  <c r="F244" i="2"/>
  <c r="P250" i="2" l="1"/>
  <c r="P248" i="2"/>
  <c r="P246" i="2"/>
  <c r="Q243" i="2"/>
  <c r="Q245" i="2"/>
  <c r="P243" i="2"/>
  <c r="P245" i="2"/>
  <c r="F243" i="2"/>
  <c r="F245" i="2"/>
  <c r="F239" i="2"/>
  <c r="P263" i="2"/>
  <c r="Q99" i="2"/>
  <c r="Q239" i="2" s="1"/>
  <c r="Q240" i="2"/>
  <c r="Q262" i="2" s="1"/>
  <c r="G240" i="2"/>
  <c r="G158" i="2"/>
  <c r="G244" i="2"/>
  <c r="H244" i="2"/>
  <c r="I159" i="2"/>
  <c r="I155" i="2" s="1"/>
  <c r="I154" i="2" s="1"/>
  <c r="H158" i="2"/>
  <c r="H240" i="2"/>
  <c r="Q248" i="2" l="1"/>
  <c r="Q246" i="2" s="1"/>
  <c r="Q250" i="2"/>
  <c r="G243" i="2"/>
  <c r="G245" i="2"/>
  <c r="H243" i="2"/>
  <c r="H245" i="2"/>
  <c r="I158" i="2"/>
  <c r="G239" i="2"/>
  <c r="H239" i="2"/>
  <c r="J159" i="2"/>
  <c r="R99" i="2"/>
  <c r="R239" i="2" s="1"/>
  <c r="R244" i="2"/>
  <c r="R240" i="2"/>
  <c r="R262" i="2" s="1"/>
  <c r="Q263" i="2"/>
  <c r="I240" i="2"/>
  <c r="I262" i="2" s="1"/>
  <c r="G263" i="2"/>
  <c r="H263" i="2"/>
  <c r="I244" i="2"/>
  <c r="R250" i="2" l="1"/>
  <c r="R248" i="2"/>
  <c r="R246" i="2" s="1"/>
  <c r="I250" i="2"/>
  <c r="I248" i="2"/>
  <c r="I246" i="2"/>
  <c r="R243" i="2"/>
  <c r="R245" i="2"/>
  <c r="I243" i="2"/>
  <c r="I245" i="2"/>
  <c r="J158" i="2"/>
  <c r="J155" i="2"/>
  <c r="J154" i="2" s="1"/>
  <c r="J244" i="2"/>
  <c r="J240" i="2"/>
  <c r="J262" i="2" s="1"/>
  <c r="J239" i="2"/>
  <c r="K159" i="2"/>
  <c r="K155" i="2" s="1"/>
  <c r="K154" i="2" s="1"/>
  <c r="I239" i="2"/>
  <c r="I263" i="2"/>
  <c r="R263" i="2"/>
  <c r="J248" i="2" l="1"/>
  <c r="J246" i="2" s="1"/>
  <c r="J250" i="2"/>
  <c r="K158" i="2"/>
  <c r="J263" i="2"/>
  <c r="J243" i="2"/>
  <c r="J245" i="2"/>
  <c r="K244" i="2"/>
  <c r="K240" i="2"/>
  <c r="K239" i="2"/>
  <c r="L159" i="2"/>
  <c r="L155" i="2" s="1"/>
  <c r="L154" i="2" s="1"/>
  <c r="K262" i="2" l="1"/>
  <c r="K243" i="2"/>
  <c r="K245" i="2"/>
  <c r="L240" i="2"/>
  <c r="L262" i="2" s="1"/>
  <c r="L244" i="2"/>
  <c r="L158" i="2"/>
  <c r="M159" i="2"/>
  <c r="M155" i="2" s="1"/>
  <c r="M154" i="2" s="1"/>
  <c r="K250" i="2" l="1"/>
  <c r="K248" i="2"/>
  <c r="K246" i="2" s="1"/>
  <c r="L250" i="2"/>
  <c r="L248" i="2"/>
  <c r="L246" i="2" s="1"/>
  <c r="K263" i="2"/>
  <c r="L243" i="2"/>
  <c r="L245" i="2"/>
  <c r="M240" i="2"/>
  <c r="M262" i="2" s="1"/>
  <c r="M158" i="2"/>
  <c r="N159" i="2"/>
  <c r="N155" i="2" s="1"/>
  <c r="N154" i="2" s="1"/>
  <c r="M244" i="2"/>
  <c r="L239" i="2"/>
  <c r="L263" i="2"/>
  <c r="M250" i="2" l="1"/>
  <c r="M248" i="2"/>
  <c r="M246" i="2"/>
  <c r="M243" i="2"/>
  <c r="M245" i="2"/>
  <c r="N240" i="2"/>
  <c r="N262" i="2" s="1"/>
  <c r="N158" i="2"/>
  <c r="O159" i="2"/>
  <c r="O155" i="2" s="1"/>
  <c r="O154" i="2" s="1"/>
  <c r="N244" i="2"/>
  <c r="M239" i="2"/>
  <c r="M263" i="2"/>
  <c r="N248" i="2" l="1"/>
  <c r="N246" i="2" s="1"/>
  <c r="N250" i="2"/>
  <c r="N243" i="2"/>
  <c r="N245" i="2"/>
  <c r="O240" i="2"/>
  <c r="O262" i="2" s="1"/>
  <c r="O244" i="2"/>
  <c r="O158" i="2"/>
  <c r="N239" i="2"/>
  <c r="N263" i="2"/>
  <c r="O248" i="2" l="1"/>
  <c r="O246" i="2" s="1"/>
  <c r="O250" i="2"/>
  <c r="O243" i="2"/>
  <c r="O245" i="2"/>
  <c r="O239" i="2"/>
  <c r="O263" i="2"/>
  <c r="E23" i="2"/>
  <c r="E24" i="2" s="1"/>
  <c r="E241" i="2"/>
  <c r="E240" i="2" l="1"/>
  <c r="E239" i="2"/>
  <c r="E250" i="2" l="1"/>
  <c r="F263" i="2"/>
  <c r="F250" i="2"/>
  <c r="F248" i="2"/>
  <c r="F246" i="2" s="1"/>
</calcChain>
</file>

<file path=xl/sharedStrings.xml><?xml version="1.0" encoding="utf-8"?>
<sst xmlns="http://schemas.openxmlformats.org/spreadsheetml/2006/main" count="248" uniqueCount="66">
  <si>
    <t xml:space="preserve">Haabneeme aleviku veebilanss </t>
  </si>
  <si>
    <t>Näitaja</t>
  </si>
  <si>
    <t>2023*</t>
  </si>
  <si>
    <t>Elanike arv</t>
  </si>
  <si>
    <t>Ühisveevärgiga liitunud elanike ligikaudne arv</t>
  </si>
  <si>
    <t>Varustatus</t>
  </si>
  <si>
    <t>Elanike ühiktarbimine, l/in/d</t>
  </si>
  <si>
    <r>
      <t>veevarustusteenuse müük kokku, m</t>
    </r>
    <r>
      <rPr>
        <vertAlign val="superscript"/>
        <sz val="10"/>
        <color indexed="8"/>
        <rFont val="Arial"/>
        <family val="2"/>
        <charset val="186"/>
      </rPr>
      <t>3</t>
    </r>
    <r>
      <rPr>
        <sz val="10"/>
        <color indexed="8"/>
        <rFont val="Arial"/>
        <family val="2"/>
        <charset val="186"/>
      </rPr>
      <t>/a</t>
    </r>
  </si>
  <si>
    <r>
      <t>veevarustusteenuse müük kokku, m</t>
    </r>
    <r>
      <rPr>
        <vertAlign val="superscript"/>
        <sz val="10"/>
        <color indexed="8"/>
        <rFont val="Arial"/>
        <family val="2"/>
        <charset val="186"/>
      </rPr>
      <t>3</t>
    </r>
    <r>
      <rPr>
        <sz val="10"/>
        <color indexed="8"/>
        <rFont val="Arial"/>
        <family val="2"/>
        <charset val="186"/>
      </rPr>
      <t>/d</t>
    </r>
  </si>
  <si>
    <r>
      <t>veevarustusteenuse müük elanikud, m</t>
    </r>
    <r>
      <rPr>
        <vertAlign val="superscript"/>
        <sz val="10"/>
        <color indexed="8"/>
        <rFont val="Arial"/>
        <family val="2"/>
        <charset val="186"/>
      </rPr>
      <t>3</t>
    </r>
    <r>
      <rPr>
        <sz val="10"/>
        <color indexed="8"/>
        <rFont val="Arial"/>
        <family val="2"/>
        <charset val="186"/>
      </rPr>
      <t>/a</t>
    </r>
  </si>
  <si>
    <r>
      <t>veevarustusteenuse müük elanikud, m</t>
    </r>
    <r>
      <rPr>
        <vertAlign val="superscript"/>
        <sz val="10"/>
        <color indexed="8"/>
        <rFont val="Arial"/>
        <family val="2"/>
        <charset val="186"/>
      </rPr>
      <t>3</t>
    </r>
    <r>
      <rPr>
        <sz val="10"/>
        <color indexed="8"/>
        <rFont val="Arial"/>
        <family val="2"/>
        <charset val="186"/>
      </rPr>
      <t>/d</t>
    </r>
  </si>
  <si>
    <r>
      <t>veevarustusteenuse müük jur is., m</t>
    </r>
    <r>
      <rPr>
        <vertAlign val="superscript"/>
        <sz val="10"/>
        <color indexed="8"/>
        <rFont val="Arial"/>
        <family val="2"/>
        <charset val="186"/>
      </rPr>
      <t>3</t>
    </r>
    <r>
      <rPr>
        <sz val="10"/>
        <color indexed="8"/>
        <rFont val="Arial"/>
        <family val="2"/>
        <charset val="186"/>
      </rPr>
      <t>/a</t>
    </r>
  </si>
  <si>
    <r>
      <t>veevarustusteenuse müük jur is., m</t>
    </r>
    <r>
      <rPr>
        <vertAlign val="superscript"/>
        <sz val="10"/>
        <color indexed="8"/>
        <rFont val="Arial"/>
        <family val="2"/>
        <charset val="186"/>
      </rPr>
      <t>3</t>
    </r>
    <r>
      <rPr>
        <sz val="10"/>
        <color indexed="8"/>
        <rFont val="Arial"/>
        <family val="2"/>
        <charset val="186"/>
      </rPr>
      <t>/d</t>
    </r>
  </si>
  <si>
    <r>
      <t>veevarustusteenuse müük jur is. tulenevalt uutest ettevõtluspiirkondadest, m</t>
    </r>
    <r>
      <rPr>
        <vertAlign val="superscript"/>
        <sz val="10"/>
        <color indexed="8"/>
        <rFont val="Arial"/>
        <family val="2"/>
        <charset val="186"/>
      </rPr>
      <t>3</t>
    </r>
    <r>
      <rPr>
        <sz val="10"/>
        <color indexed="8"/>
        <rFont val="Arial"/>
        <family val="2"/>
        <charset val="186"/>
      </rPr>
      <t>/d</t>
    </r>
  </si>
  <si>
    <t xml:space="preserve">Viimsi aleviku veebilanss </t>
  </si>
  <si>
    <t>Varustatus, %</t>
  </si>
  <si>
    <r>
      <t>veevarustusteenuse müük kokku, m</t>
    </r>
    <r>
      <rPr>
        <vertAlign val="superscript"/>
        <sz val="10"/>
        <color theme="1"/>
        <rFont val="Arial"/>
        <family val="2"/>
        <charset val="186"/>
      </rPr>
      <t>3</t>
    </r>
    <r>
      <rPr>
        <sz val="10"/>
        <color theme="1"/>
        <rFont val="Arial"/>
        <family val="2"/>
        <charset val="186"/>
      </rPr>
      <t>/a</t>
    </r>
  </si>
  <si>
    <r>
      <t>veevarustusteenuse müük kokku, m</t>
    </r>
    <r>
      <rPr>
        <vertAlign val="superscript"/>
        <sz val="10"/>
        <color theme="1"/>
        <rFont val="Arial"/>
        <family val="2"/>
        <charset val="186"/>
      </rPr>
      <t>3</t>
    </r>
    <r>
      <rPr>
        <sz val="10"/>
        <color theme="1"/>
        <rFont val="Arial"/>
        <family val="2"/>
        <charset val="186"/>
      </rPr>
      <t>/d</t>
    </r>
  </si>
  <si>
    <r>
      <t>veevarustusteenuse müük elanikud, m</t>
    </r>
    <r>
      <rPr>
        <vertAlign val="superscript"/>
        <sz val="10"/>
        <color theme="1"/>
        <rFont val="Arial"/>
        <family val="2"/>
        <charset val="186"/>
      </rPr>
      <t>3</t>
    </r>
    <r>
      <rPr>
        <sz val="10"/>
        <color theme="1"/>
        <rFont val="Arial"/>
        <family val="2"/>
        <charset val="186"/>
      </rPr>
      <t>/a</t>
    </r>
  </si>
  <si>
    <r>
      <t>veevarustusteenuse müük elanikud, m</t>
    </r>
    <r>
      <rPr>
        <vertAlign val="superscript"/>
        <sz val="10"/>
        <color theme="1"/>
        <rFont val="Arial"/>
        <family val="2"/>
        <charset val="186"/>
      </rPr>
      <t>3</t>
    </r>
    <r>
      <rPr>
        <sz val="10"/>
        <color theme="1"/>
        <rFont val="Arial"/>
        <family val="2"/>
        <charset val="186"/>
      </rPr>
      <t>/d</t>
    </r>
  </si>
  <si>
    <t xml:space="preserve">Laiaküla küla veebilanss </t>
  </si>
  <si>
    <r>
      <t>veevarustusteenuse müük jur is., m</t>
    </r>
    <r>
      <rPr>
        <vertAlign val="superscript"/>
        <sz val="10"/>
        <color theme="1"/>
        <rFont val="Arial"/>
        <family val="2"/>
        <charset val="186"/>
      </rPr>
      <t>3</t>
    </r>
    <r>
      <rPr>
        <sz val="10"/>
        <color theme="1"/>
        <rFont val="Arial"/>
        <family val="2"/>
        <charset val="186"/>
      </rPr>
      <t>/a</t>
    </r>
  </si>
  <si>
    <r>
      <t>veevarustusteenuse müük jur is., m</t>
    </r>
    <r>
      <rPr>
        <vertAlign val="superscript"/>
        <sz val="10"/>
        <color theme="1"/>
        <rFont val="Arial"/>
        <family val="2"/>
        <charset val="186"/>
      </rPr>
      <t>3</t>
    </r>
    <r>
      <rPr>
        <sz val="10"/>
        <color theme="1"/>
        <rFont val="Arial"/>
        <family val="2"/>
        <charset val="186"/>
      </rPr>
      <t>/d</t>
    </r>
  </si>
  <si>
    <t xml:space="preserve">Leppneeme küla veebilanss </t>
  </si>
  <si>
    <t>Lubja küla veebilanss</t>
  </si>
  <si>
    <r>
      <t>veevarustusteenuse müük jur is., m</t>
    </r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>/a</t>
    </r>
  </si>
  <si>
    <r>
      <t>veevarustusteenuse müük jur is., m</t>
    </r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>/d</t>
    </r>
  </si>
  <si>
    <t xml:space="preserve">Metsakasti küla veebilanss </t>
  </si>
  <si>
    <t xml:space="preserve">Miiduranna küla veebilanss </t>
  </si>
  <si>
    <t>Elanike ühiktarbimine, l/in/d*</t>
  </si>
  <si>
    <t xml:space="preserve">Muuga küla veebilanss </t>
  </si>
  <si>
    <t xml:space="preserve">Pringi küla veebilanss </t>
  </si>
  <si>
    <r>
      <t>veevarustusteenuse müük kokku, 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/a</t>
    </r>
  </si>
  <si>
    <r>
      <t>veevarustusteenuse müük kokku, 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/d</t>
    </r>
  </si>
  <si>
    <r>
      <t>veevarustusteenuse müük elanikud, 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/a</t>
    </r>
  </si>
  <si>
    <r>
      <t>veevarustusteenuse müük elanikud, 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/d</t>
    </r>
  </si>
  <si>
    <r>
      <t>veevarustusteenuse müük jur is., 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/a</t>
    </r>
  </si>
  <si>
    <r>
      <t>veevarustusteenuse müük jur is., 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/d</t>
    </r>
  </si>
  <si>
    <t xml:space="preserve">Pärnamäe küla veebilanss </t>
  </si>
  <si>
    <t xml:space="preserve">Püünsi küla veebilanss </t>
  </si>
  <si>
    <t xml:space="preserve">Randvere küla veebilanss </t>
  </si>
  <si>
    <t xml:space="preserve">Rohuneeme küla veebilanss </t>
  </si>
  <si>
    <t xml:space="preserve">Tammneeme küla veebilanss </t>
  </si>
  <si>
    <t xml:space="preserve">Äigrumäe küla veebilanss </t>
  </si>
  <si>
    <t xml:space="preserve">Kelvingi küla veebilanss </t>
  </si>
  <si>
    <t>Kokku Viimsi vald veebilanss</t>
  </si>
  <si>
    <r>
      <t>veevarustusteenuse müük, sealhulgas jur is. tulenevalt uutest ettevõtluspiirkondadest, m</t>
    </r>
    <r>
      <rPr>
        <vertAlign val="superscript"/>
        <sz val="10"/>
        <color indexed="8"/>
        <rFont val="Arial"/>
        <family val="2"/>
        <charset val="186"/>
      </rPr>
      <t>3</t>
    </r>
    <r>
      <rPr>
        <sz val="10"/>
        <color indexed="8"/>
        <rFont val="Arial"/>
        <family val="2"/>
        <charset val="186"/>
      </rPr>
      <t>/d</t>
    </r>
  </si>
  <si>
    <r>
      <t>müümata vesi (tegelikud ja näivad veekaod, arveldamata volitatud vesi, m</t>
    </r>
    <r>
      <rPr>
        <vertAlign val="superscript"/>
        <sz val="10"/>
        <color indexed="8"/>
        <rFont val="Arial"/>
        <family val="2"/>
        <charset val="186"/>
      </rPr>
      <t>3</t>
    </r>
    <r>
      <rPr>
        <sz val="10"/>
        <color indexed="8"/>
        <rFont val="Arial"/>
        <family val="2"/>
        <charset val="186"/>
      </rPr>
      <t>/d</t>
    </r>
  </si>
  <si>
    <t>müümata vesi (tegelikud ja näivad veekaod, arveldamata volitatud vesi, %</t>
  </si>
  <si>
    <r>
      <t>omatarbevesi, 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  <charset val="186"/>
      </rPr>
      <t>/d</t>
    </r>
  </si>
  <si>
    <t>omatarbevesi, %</t>
  </si>
  <si>
    <r>
      <t>Kokku kogu müümata (arveldamata) vesi, 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/d</t>
    </r>
  </si>
  <si>
    <t>Kokku kogu müümata (arveldamata) vesi, %</t>
  </si>
  <si>
    <r>
      <t>Väljapumbatav põhjavesi, m</t>
    </r>
    <r>
      <rPr>
        <vertAlign val="superscript"/>
        <sz val="10"/>
        <color indexed="8"/>
        <rFont val="Arial"/>
        <family val="2"/>
        <charset val="186"/>
      </rPr>
      <t>3</t>
    </r>
    <r>
      <rPr>
        <sz val="10"/>
        <color indexed="8"/>
        <rFont val="Arial"/>
        <family val="2"/>
        <charset val="186"/>
      </rPr>
      <t>/a</t>
    </r>
  </si>
  <si>
    <r>
      <t>Väljapumbatav põhjavesi, m</t>
    </r>
    <r>
      <rPr>
        <vertAlign val="superscript"/>
        <sz val="10"/>
        <color indexed="8"/>
        <rFont val="Arial"/>
        <family val="2"/>
        <charset val="186"/>
      </rPr>
      <t>3</t>
    </r>
    <r>
      <rPr>
        <sz val="10"/>
        <color indexed="8"/>
        <rFont val="Arial"/>
        <family val="2"/>
        <charset val="186"/>
      </rPr>
      <t>/d</t>
    </r>
  </si>
  <si>
    <r>
      <t>AS Tallinna Vesi pinnavesi, m</t>
    </r>
    <r>
      <rPr>
        <vertAlign val="superscript"/>
        <sz val="10"/>
        <color indexed="8"/>
        <rFont val="Arial"/>
        <family val="2"/>
        <charset val="186"/>
      </rPr>
      <t>3</t>
    </r>
    <r>
      <rPr>
        <sz val="10"/>
        <color indexed="8"/>
        <rFont val="Arial"/>
        <family val="2"/>
        <charset val="186"/>
      </rPr>
      <t>/a</t>
    </r>
  </si>
  <si>
    <r>
      <t>AS Tallinna Vesi pinnavesi, m</t>
    </r>
    <r>
      <rPr>
        <vertAlign val="superscript"/>
        <sz val="10"/>
        <color indexed="8"/>
        <rFont val="Arial"/>
        <family val="2"/>
        <charset val="186"/>
      </rPr>
      <t>3</t>
    </r>
    <r>
      <rPr>
        <sz val="10"/>
        <color indexed="8"/>
        <rFont val="Arial"/>
        <family val="2"/>
        <charset val="186"/>
      </rPr>
      <t>/d</t>
    </r>
  </si>
  <si>
    <r>
      <t>AS Tallinna Vesi põhjavesi, m</t>
    </r>
    <r>
      <rPr>
        <vertAlign val="superscript"/>
        <sz val="10"/>
        <color indexed="8"/>
        <rFont val="Arial"/>
        <family val="2"/>
        <charset val="186"/>
      </rPr>
      <t>3</t>
    </r>
    <r>
      <rPr>
        <sz val="10"/>
        <color indexed="8"/>
        <rFont val="Arial"/>
        <family val="2"/>
        <charset val="186"/>
      </rPr>
      <t>/a</t>
    </r>
    <r>
      <rPr>
        <sz val="10"/>
        <color theme="1"/>
        <rFont val="Arial"/>
        <family val="2"/>
        <charset val="186"/>
      </rPr>
      <t>**</t>
    </r>
  </si>
  <si>
    <r>
      <t>AS Tallinna Vesi põhjavesi, m</t>
    </r>
    <r>
      <rPr>
        <vertAlign val="superscript"/>
        <sz val="10"/>
        <color indexed="8"/>
        <rFont val="Arial"/>
        <family val="2"/>
        <charset val="186"/>
      </rPr>
      <t>3</t>
    </r>
    <r>
      <rPr>
        <sz val="10"/>
        <color indexed="8"/>
        <rFont val="Arial"/>
        <family val="2"/>
        <charset val="186"/>
      </rPr>
      <t>/d</t>
    </r>
    <r>
      <rPr>
        <sz val="10"/>
        <color theme="1"/>
        <rFont val="Arial"/>
        <family val="2"/>
        <charset val="186"/>
      </rPr>
      <t>**</t>
    </r>
  </si>
  <si>
    <r>
      <t>Tallinn Sadam AS, m</t>
    </r>
    <r>
      <rPr>
        <vertAlign val="superscript"/>
        <sz val="10"/>
        <color indexed="8"/>
        <rFont val="Arial"/>
        <family val="2"/>
        <charset val="186"/>
      </rPr>
      <t>3</t>
    </r>
    <r>
      <rPr>
        <sz val="10"/>
        <color indexed="8"/>
        <rFont val="Arial"/>
        <family val="2"/>
        <charset val="186"/>
      </rPr>
      <t>/a</t>
    </r>
  </si>
  <si>
    <r>
      <t>Tallinna Sadam AS, m</t>
    </r>
    <r>
      <rPr>
        <vertAlign val="superscript"/>
        <sz val="10"/>
        <color indexed="8"/>
        <rFont val="Arial"/>
        <family val="2"/>
        <charset val="186"/>
      </rPr>
      <t>3</t>
    </r>
    <r>
      <rPr>
        <sz val="10"/>
        <color indexed="8"/>
        <rFont val="Arial"/>
        <family val="2"/>
        <charset val="186"/>
      </rPr>
      <t>/d</t>
    </r>
  </si>
  <si>
    <r>
      <t>AÜ Randvere Taru, m</t>
    </r>
    <r>
      <rPr>
        <vertAlign val="superscript"/>
        <sz val="10"/>
        <color indexed="8"/>
        <rFont val="Arial"/>
        <family val="2"/>
        <charset val="186"/>
      </rPr>
      <t>3</t>
    </r>
    <r>
      <rPr>
        <sz val="10"/>
        <color indexed="8"/>
        <rFont val="Arial"/>
        <family val="2"/>
        <charset val="186"/>
      </rPr>
      <t>/a</t>
    </r>
  </si>
  <si>
    <r>
      <t>AÜ Randvere Taru, m</t>
    </r>
    <r>
      <rPr>
        <vertAlign val="superscript"/>
        <sz val="10"/>
        <color indexed="8"/>
        <rFont val="Arial"/>
        <family val="2"/>
        <charset val="186"/>
      </rPr>
      <t>3</t>
    </r>
    <r>
      <rPr>
        <sz val="10"/>
        <color indexed="8"/>
        <rFont val="Arial"/>
        <family val="2"/>
        <charset val="186"/>
      </rPr>
      <t>/d</t>
    </r>
  </si>
  <si>
    <r>
      <t>Kokku võrku antud Viimsi vald ÜVK,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/d</t>
    </r>
  </si>
  <si>
    <r>
      <t>Kokku võrku antud Viimsi vald ÜVK,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/a</t>
    </r>
  </si>
  <si>
    <t>*2023. a kogused on võetud 01.01.-30.06.2023 reaalse veetarbimise alusel ja taandatud aastaseks veevõtuks                                           **Antud kogusega perspektiivis ei arvestata, kuna AS Tallinna Vesi ei soovi põhjavett Viimsi vallale müüa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</si>
</sst>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26">
    <font>
      <sz val="10"/>
      <name val="Arial"/>
      <charset val="186"/>
    </font>
    <font>
      <sz val="8"/>
      <name val="Arial"/>
      <family val="2"/>
      <charset val="186"/>
    </font>
    <font>
      <sz val="10"/>
      <name val="Times New Roman"/>
      <family val="1"/>
    </font>
    <font>
      <b/>
      <sz val="12"/>
      <name val="Arial"/>
      <family val="2"/>
      <charset val="186"/>
    </font>
    <font>
      <sz val="10"/>
      <name val="Arial"/>
      <family val="2"/>
      <charset val="186"/>
    </font>
    <font>
      <sz val="10"/>
      <color indexed="8"/>
      <name val="Arial"/>
      <family val="2"/>
      <charset val="186"/>
    </font>
    <font>
      <vertAlign val="superscript"/>
      <sz val="10"/>
      <color indexed="8"/>
      <name val="Arial"/>
      <family val="2"/>
      <charset val="186"/>
    </font>
    <font>
      <sz val="9"/>
      <name val="Arial"/>
      <family val="2"/>
      <charset val="186"/>
    </font>
    <font>
      <sz val="10"/>
      <color rgb="FF000000"/>
      <name val="Times New Roman"/>
      <family val="1"/>
      <charset val="186"/>
    </font>
    <font>
      <sz val="10"/>
      <color rgb="FF000000"/>
      <name val="Arial"/>
      <family val="2"/>
      <charset val="186"/>
    </font>
    <font>
      <sz val="10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vertAlign val="superscript"/>
      <sz val="10"/>
      <color theme="1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0"/>
      <color theme="1"/>
      <name val="Arial"/>
      <family val="2"/>
      <charset val="186"/>
    </font>
    <font>
      <sz val="10"/>
      <name val="Arial"/>
      <family val="2"/>
    </font>
    <font>
      <sz val="10"/>
      <color theme="1"/>
      <name val="Arial"/>
      <family val="2"/>
    </font>
    <font>
      <vertAlign val="superscript"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vertAlign val="superscript"/>
      <sz val="1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164" fontId="8" fillId="0" borderId="0" xfId="0" applyNumberFormat="1" applyFont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1" fontId="9" fillId="0" borderId="1" xfId="0" applyNumberFormat="1" applyFont="1" applyBorder="1" applyAlignment="1">
      <alignment horizontal="justify" vertical="top" wrapText="1"/>
    </xf>
    <xf numFmtId="0" fontId="10" fillId="0" borderId="1" xfId="0" applyFont="1" applyBorder="1" applyAlignment="1">
      <alignment horizontal="justify" vertical="top" wrapText="1"/>
    </xf>
    <xf numFmtId="1" fontId="10" fillId="0" borderId="1" xfId="0" applyNumberFormat="1" applyFont="1" applyBorder="1" applyAlignment="1">
      <alignment horizontal="left" vertical="top" wrapText="1"/>
    </xf>
    <xf numFmtId="1" fontId="10" fillId="0" borderId="1" xfId="0" applyNumberFormat="1" applyFont="1" applyBorder="1" applyAlignment="1">
      <alignment horizontal="justify" vertical="top" wrapText="1"/>
    </xf>
    <xf numFmtId="164" fontId="10" fillId="0" borderId="1" xfId="0" applyNumberFormat="1" applyFont="1" applyBorder="1" applyAlignment="1">
      <alignment horizontal="justify"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wrapText="1"/>
    </xf>
    <xf numFmtId="1" fontId="10" fillId="0" borderId="1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justify" vertical="top" wrapText="1"/>
    </xf>
    <xf numFmtId="1" fontId="10" fillId="0" borderId="0" xfId="0" applyNumberFormat="1" applyFont="1" applyAlignment="1">
      <alignment horizontal="justify" vertical="top" wrapText="1"/>
    </xf>
    <xf numFmtId="1" fontId="10" fillId="3" borderId="1" xfId="0" applyNumberFormat="1" applyFont="1" applyFill="1" applyBorder="1" applyAlignment="1">
      <alignment horizontal="justify" vertical="top" wrapText="1"/>
    </xf>
    <xf numFmtId="1" fontId="10" fillId="3" borderId="0" xfId="0" applyNumberFormat="1" applyFont="1" applyFill="1" applyAlignment="1">
      <alignment horizontal="justify" vertical="top" wrapText="1"/>
    </xf>
    <xf numFmtId="0" fontId="12" fillId="0" borderId="0" xfId="0" applyFont="1" applyAlignment="1">
      <alignment horizontal="justify" vertical="top" wrapText="1"/>
    </xf>
    <xf numFmtId="164" fontId="10" fillId="3" borderId="1" xfId="0" applyNumberFormat="1" applyFont="1" applyFill="1" applyBorder="1" applyAlignment="1">
      <alignment horizontal="justify" vertical="top" wrapText="1"/>
    </xf>
    <xf numFmtId="1" fontId="10" fillId="2" borderId="1" xfId="0" applyNumberFormat="1" applyFont="1" applyFill="1" applyBorder="1" applyAlignment="1">
      <alignment horizontal="left"/>
    </xf>
    <xf numFmtId="0" fontId="10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14" fillId="0" borderId="0" xfId="0" applyFont="1"/>
    <xf numFmtId="0" fontId="10" fillId="0" borderId="1" xfId="0" applyFont="1" applyBorder="1" applyAlignment="1">
      <alignment horizontal="justify" vertical="center" wrapText="1"/>
    </xf>
    <xf numFmtId="1" fontId="10" fillId="0" borderId="1" xfId="0" applyNumberFormat="1" applyFont="1" applyBorder="1" applyAlignment="1">
      <alignment horizontal="justify" vertical="center" wrapText="1"/>
    </xf>
    <xf numFmtId="1" fontId="10" fillId="2" borderId="1" xfId="0" applyNumberFormat="1" applyFont="1" applyFill="1" applyBorder="1" applyAlignment="1">
      <alignment horizontal="left" vertical="center"/>
    </xf>
    <xf numFmtId="0" fontId="10" fillId="0" borderId="0" xfId="0" applyFont="1"/>
    <xf numFmtId="164" fontId="10" fillId="0" borderId="1" xfId="0" applyNumberFormat="1" applyFont="1" applyBorder="1" applyAlignment="1">
      <alignment horizontal="justify" vertical="center" wrapText="1"/>
    </xf>
    <xf numFmtId="1" fontId="10" fillId="3" borderId="1" xfId="0" applyNumberFormat="1" applyFont="1" applyFill="1" applyBorder="1" applyAlignment="1">
      <alignment horizontal="justify" vertical="center" wrapText="1"/>
    </xf>
    <xf numFmtId="1" fontId="0" fillId="0" borderId="0" xfId="0" applyNumberFormat="1"/>
    <xf numFmtId="164" fontId="15" fillId="0" borderId="0" xfId="0" applyNumberFormat="1" applyFont="1" applyAlignment="1">
      <alignment horizontal="justify" vertical="center" wrapText="1"/>
    </xf>
    <xf numFmtId="164" fontId="10" fillId="0" borderId="0" xfId="0" applyNumberFormat="1" applyFont="1" applyAlignment="1">
      <alignment horizontal="justify" vertical="center" wrapText="1"/>
    </xf>
    <xf numFmtId="1" fontId="0" fillId="0" borderId="2" xfId="0" applyNumberFormat="1" applyBorder="1" applyAlignment="1">
      <alignment horizontal="left"/>
    </xf>
    <xf numFmtId="0" fontId="16" fillId="0" borderId="0" xfId="0" applyFont="1"/>
    <xf numFmtId="164" fontId="10" fillId="0" borderId="0" xfId="0" applyNumberFormat="1" applyFont="1" applyAlignment="1">
      <alignment horizontal="justify" vertical="top" wrapText="1"/>
    </xf>
    <xf numFmtId="0" fontId="17" fillId="0" borderId="1" xfId="0" applyFont="1" applyBorder="1" applyAlignment="1">
      <alignment horizontal="justify" vertical="top" wrapText="1"/>
    </xf>
    <xf numFmtId="164" fontId="17" fillId="0" borderId="1" xfId="0" applyNumberFormat="1" applyFont="1" applyBorder="1" applyAlignment="1">
      <alignment horizontal="justify" vertical="center" wrapText="1"/>
    </xf>
    <xf numFmtId="1" fontId="17" fillId="0" borderId="1" xfId="0" applyNumberFormat="1" applyFont="1" applyBorder="1" applyAlignment="1">
      <alignment horizontal="justify" vertical="top" wrapText="1"/>
    </xf>
    <xf numFmtId="1" fontId="17" fillId="0" borderId="1" xfId="0" applyNumberFormat="1" applyFont="1" applyBorder="1" applyAlignment="1">
      <alignment horizontal="justify" vertical="center" wrapText="1"/>
    </xf>
    <xf numFmtId="164" fontId="16" fillId="0" borderId="0" xfId="0" applyNumberFormat="1" applyFont="1"/>
    <xf numFmtId="164" fontId="10" fillId="0" borderId="0" xfId="0" applyNumberFormat="1" applyFont="1" applyAlignment="1">
      <alignment horizontal="right" vertical="top" wrapText="1"/>
    </xf>
    <xf numFmtId="0" fontId="17" fillId="0" borderId="0" xfId="0" applyFont="1"/>
    <xf numFmtId="0" fontId="17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/>
    </xf>
    <xf numFmtId="0" fontId="23" fillId="0" borderId="0" xfId="0" applyFont="1"/>
    <xf numFmtId="0" fontId="22" fillId="0" borderId="0" xfId="0" applyFont="1" applyAlignment="1">
      <alignment horizontal="center"/>
    </xf>
    <xf numFmtId="165" fontId="8" fillId="0" borderId="0" xfId="0" applyNumberFormat="1" applyFont="1" applyAlignment="1">
      <alignment horizontal="justify" vertical="top" wrapText="1"/>
    </xf>
    <xf numFmtId="165" fontId="0" fillId="0" borderId="0" xfId="0" applyNumberFormat="1"/>
    <xf numFmtId="0" fontId="16" fillId="0" borderId="1" xfId="0" applyFont="1" applyBorder="1"/>
    <xf numFmtId="1" fontId="16" fillId="0" borderId="0" xfId="0" applyNumberFormat="1" applyFont="1"/>
    <xf numFmtId="0" fontId="12" fillId="0" borderId="3" xfId="0" applyFont="1" applyBorder="1" applyAlignment="1">
      <alignment horizontal="left" vertical="top" wrapText="1"/>
    </xf>
    <xf numFmtId="1" fontId="25" fillId="0" borderId="1" xfId="0" applyNumberFormat="1" applyFont="1" applyBorder="1" applyAlignment="1">
      <alignment horizontal="justify" vertical="top" wrapText="1"/>
    </xf>
    <xf numFmtId="1" fontId="17" fillId="0" borderId="2" xfId="0" applyNumberFormat="1" applyFont="1" applyBorder="1" applyAlignment="1">
      <alignment horizontal="left"/>
    </xf>
    <xf numFmtId="1" fontId="17" fillId="0" borderId="1" xfId="0" applyNumberFormat="1" applyFont="1" applyBorder="1" applyAlignment="1">
      <alignment horizontal="left" vertical="top" wrapText="1"/>
    </xf>
    <xf numFmtId="1" fontId="17" fillId="0" borderId="1" xfId="0" applyNumberFormat="1" applyFont="1" applyBorder="1" applyAlignment="1">
      <alignment horizontal="left" vertical="center" wrapText="1"/>
    </xf>
    <xf numFmtId="0" fontId="17" fillId="0" borderId="0" xfId="0" applyFont="1" applyAlignment="1">
      <alignment horizontal="left"/>
    </xf>
    <xf numFmtId="0" fontId="11" fillId="0" borderId="0" xfId="0" applyFont="1" applyAlignment="1">
      <alignment horizontal="justify"/>
    </xf>
    <xf numFmtId="0" fontId="20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3" fontId="10" fillId="0" borderId="1" xfId="0" applyNumberFormat="1" applyFont="1" applyBorder="1" applyAlignment="1">
      <alignment horizontal="justify" vertical="top" wrapText="1"/>
    </xf>
    <xf numFmtId="3" fontId="9" fillId="0" borderId="1" xfId="0" applyNumberFormat="1" applyFont="1" applyBorder="1" applyAlignment="1">
      <alignment horizontal="justify" vertical="top" wrapText="1"/>
    </xf>
    <xf numFmtId="3" fontId="10" fillId="3" borderId="1" xfId="0" applyNumberFormat="1" applyFont="1" applyFill="1" applyBorder="1" applyAlignment="1">
      <alignment horizontal="justify" vertical="top" wrapText="1"/>
    </xf>
    <xf numFmtId="3" fontId="17" fillId="0" borderId="1" xfId="0" applyNumberFormat="1" applyFont="1" applyBorder="1" applyAlignment="1">
      <alignment horizontal="justify" vertical="center" wrapText="1"/>
    </xf>
    <xf numFmtId="3" fontId="0" fillId="0" borderId="1" xfId="0" applyNumberFormat="1" applyBorder="1" applyAlignment="1">
      <alignment horizontal="justify" vertical="top" wrapText="1"/>
    </xf>
    <xf numFmtId="3" fontId="0" fillId="0" borderId="0" xfId="0" applyNumberFormat="1"/>
    <xf numFmtId="3" fontId="0" fillId="0" borderId="1" xfId="0" applyNumberFormat="1" applyBorder="1"/>
    <xf numFmtId="0" fontId="4" fillId="0" borderId="0" xfId="0" applyFont="1" applyAlignment="1"/>
    <xf numFmtId="0" fontId="10" fillId="0" borderId="0" xfId="0" applyFont="1" applyAlignment="1"/>
    <xf numFmtId="0" fontId="17" fillId="0" borderId="0" xfId="0" applyFont="1" applyAlignment="1"/>
  </cellXfs>
  <cellStyles count="2">
    <cellStyle name="Normal" xfId="0" builtinId="0"/>
    <cellStyle name="Normal 2" xfId="1" xr:uid="{00000000-0005-0000-0000-000001000000}"/>
  </cellStyles>
  <dxfs count="6">
    <dxf>
      <fill>
        <patternFill>
          <bgColor indexed="10"/>
        </patternFill>
      </fill>
    </dxf>
    <dxf>
      <fill>
        <patternFill>
          <bgColor indexed="41"/>
        </patternFill>
      </fill>
    </dxf>
    <dxf>
      <fill>
        <patternFill>
          <bgColor indexed="15"/>
        </patternFill>
      </fill>
    </dxf>
    <dxf>
      <fill>
        <patternFill>
          <bgColor indexed="10"/>
        </patternFill>
      </fill>
    </dxf>
    <dxf>
      <fill>
        <patternFill>
          <bgColor indexed="41"/>
        </patternFill>
      </fill>
    </dxf>
    <dxf>
      <fill>
        <patternFill>
          <bgColor indexed="15"/>
        </patternFill>
      </fill>
    </dxf>
  </dxfs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4"/>
  <sheetViews>
    <sheetView tabSelected="1" topLeftCell="A226" workbookViewId="0">
      <selection activeCell="A245" sqref="A245:XFD245"/>
    </sheetView>
  </sheetViews>
  <sheetFormatPr defaultRowHeight="13.15"/>
  <cols>
    <col min="1" max="1" width="9.140625" style="43"/>
    <col min="2" max="2" width="39.85546875" customWidth="1"/>
    <col min="3" max="3" width="15.85546875" customWidth="1"/>
    <col min="4" max="4" width="11.85546875" customWidth="1"/>
    <col min="5" max="5" width="9.140625" customWidth="1"/>
    <col min="6" max="6" width="12.7109375" customWidth="1"/>
    <col min="7" max="7" width="14" customWidth="1"/>
    <col min="8" max="9" width="12.42578125" customWidth="1"/>
    <col min="10" max="10" width="11" customWidth="1"/>
    <col min="11" max="11" width="13" customWidth="1"/>
    <col min="12" max="13" width="13.28515625" customWidth="1"/>
    <col min="14" max="14" width="12.5703125" customWidth="1"/>
    <col min="15" max="15" width="10.5703125" customWidth="1"/>
    <col min="16" max="16" width="11.140625" customWidth="1"/>
    <col min="17" max="17" width="11" customWidth="1"/>
    <col min="18" max="18" width="12.28515625" customWidth="1"/>
  </cols>
  <sheetData>
    <row r="1" spans="1:19" ht="15.6">
      <c r="B1" s="56"/>
      <c r="C1" s="56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9" ht="15.6">
      <c r="A2" s="43">
        <v>1</v>
      </c>
      <c r="B2" s="56" t="s">
        <v>0</v>
      </c>
      <c r="C2" s="56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9">
      <c r="B3" s="4" t="s">
        <v>1</v>
      </c>
      <c r="C3" s="18">
        <v>2021</v>
      </c>
      <c r="D3" s="18">
        <v>2022</v>
      </c>
      <c r="E3" s="18" t="s">
        <v>2</v>
      </c>
      <c r="F3" s="18">
        <v>2024</v>
      </c>
      <c r="G3" s="18">
        <v>2025</v>
      </c>
      <c r="H3" s="18">
        <v>2026</v>
      </c>
      <c r="I3" s="18">
        <v>2027</v>
      </c>
      <c r="J3" s="18">
        <v>2028</v>
      </c>
      <c r="K3" s="18">
        <v>2029</v>
      </c>
      <c r="L3" s="18">
        <v>2030</v>
      </c>
      <c r="M3" s="18">
        <v>2031</v>
      </c>
      <c r="N3" s="18">
        <v>2032</v>
      </c>
      <c r="O3" s="19">
        <v>2033</v>
      </c>
      <c r="P3" s="19">
        <v>2034</v>
      </c>
      <c r="Q3" s="19">
        <v>2035</v>
      </c>
      <c r="R3" s="19">
        <v>2036</v>
      </c>
    </row>
    <row r="4" spans="1:19">
      <c r="B4" s="4" t="s">
        <v>3</v>
      </c>
      <c r="C4" s="4">
        <v>6811</v>
      </c>
      <c r="D4" s="4">
        <v>7265</v>
      </c>
      <c r="E4" s="4">
        <v>7359</v>
      </c>
      <c r="F4" s="6">
        <v>7453.7900000000009</v>
      </c>
      <c r="G4" s="6">
        <v>7622.1400000000012</v>
      </c>
      <c r="H4" s="6">
        <v>7770.1500000000015</v>
      </c>
      <c r="I4" s="6">
        <v>7902.4100000000017</v>
      </c>
      <c r="J4" s="6">
        <v>8034.6700000000019</v>
      </c>
      <c r="K4" s="6">
        <v>8105.9100000000026</v>
      </c>
      <c r="L4" s="6">
        <v>8177.1500000000033</v>
      </c>
      <c r="M4" s="6">
        <v>8248.3900000000049</v>
      </c>
      <c r="N4" s="6">
        <v>8304.8700000000044</v>
      </c>
      <c r="O4" s="6">
        <v>8337.0000000000036</v>
      </c>
      <c r="P4" s="6">
        <v>8337.0000000000036</v>
      </c>
      <c r="Q4" s="6">
        <v>8337.0000000000036</v>
      </c>
      <c r="R4" s="6">
        <v>8337.0000000000036</v>
      </c>
    </row>
    <row r="5" spans="1:19">
      <c r="B5" s="4" t="s">
        <v>4</v>
      </c>
      <c r="C5" s="6">
        <f>C4*C6/100</f>
        <v>6742.89</v>
      </c>
      <c r="D5" s="6">
        <f>D4*D6/100</f>
        <v>7192.35</v>
      </c>
      <c r="E5" s="6">
        <f t="shared" ref="E5:R5" si="0">E4*E6/100</f>
        <v>7292.7689999999993</v>
      </c>
      <c r="F5" s="6">
        <f t="shared" si="0"/>
        <v>7386.7058900000002</v>
      </c>
      <c r="G5" s="6">
        <f t="shared" si="0"/>
        <v>7553.5407400000004</v>
      </c>
      <c r="H5" s="6">
        <f t="shared" si="0"/>
        <v>7700.2186500000007</v>
      </c>
      <c r="I5" s="6">
        <f t="shared" si="0"/>
        <v>7831.2883100000008</v>
      </c>
      <c r="J5" s="6">
        <f t="shared" si="0"/>
        <v>7970.3926400000018</v>
      </c>
      <c r="K5" s="6">
        <f t="shared" si="0"/>
        <v>8041.0627200000026</v>
      </c>
      <c r="L5" s="6">
        <f t="shared" si="0"/>
        <v>8111.7328000000034</v>
      </c>
      <c r="M5" s="6">
        <f t="shared" si="0"/>
        <v>8182.4028800000051</v>
      </c>
      <c r="N5" s="6">
        <f t="shared" si="0"/>
        <v>8238.4310400000049</v>
      </c>
      <c r="O5" s="6">
        <f t="shared" si="0"/>
        <v>8270.3040000000037</v>
      </c>
      <c r="P5" s="6">
        <f t="shared" si="0"/>
        <v>8270.3040000000037</v>
      </c>
      <c r="Q5" s="6">
        <f t="shared" si="0"/>
        <v>8270.3040000000037</v>
      </c>
      <c r="R5" s="6">
        <f t="shared" si="0"/>
        <v>8270.3040000000037</v>
      </c>
    </row>
    <row r="6" spans="1:19">
      <c r="B6" s="4" t="s">
        <v>5</v>
      </c>
      <c r="C6" s="6">
        <v>99</v>
      </c>
      <c r="D6" s="6">
        <v>99</v>
      </c>
      <c r="E6" s="6">
        <v>99.1</v>
      </c>
      <c r="F6" s="6">
        <v>99.1</v>
      </c>
      <c r="G6" s="6">
        <v>99.1</v>
      </c>
      <c r="H6" s="6">
        <v>99.1</v>
      </c>
      <c r="I6" s="6">
        <v>99.1</v>
      </c>
      <c r="J6" s="6">
        <v>99.2</v>
      </c>
      <c r="K6" s="6">
        <v>99.2</v>
      </c>
      <c r="L6" s="6">
        <v>99.2</v>
      </c>
      <c r="M6" s="6">
        <v>99.2</v>
      </c>
      <c r="N6" s="6">
        <v>99.2</v>
      </c>
      <c r="O6" s="6">
        <v>99.2</v>
      </c>
      <c r="P6" s="6">
        <v>99.2</v>
      </c>
      <c r="Q6" s="6">
        <v>99.2</v>
      </c>
      <c r="R6" s="6">
        <v>99.2</v>
      </c>
    </row>
    <row r="7" spans="1:19">
      <c r="B7" s="4" t="s">
        <v>6</v>
      </c>
      <c r="C7" s="6">
        <f>C11/C5*1000</f>
        <v>114.07681235498042</v>
      </c>
      <c r="D7" s="6">
        <f>D11/D5*1000</f>
        <v>103.33490749446401</v>
      </c>
      <c r="E7" s="6">
        <f>E11/E5*1000</f>
        <v>104.39463622813624</v>
      </c>
      <c r="F7" s="6">
        <f>+E7+0.5</f>
        <v>104.89463622813624</v>
      </c>
      <c r="G7" s="6">
        <f>+F7+1.1</f>
        <v>105.99463622813623</v>
      </c>
      <c r="H7" s="6">
        <f>+G7+1.2</f>
        <v>107.19463622813623</v>
      </c>
      <c r="I7" s="6">
        <f>+H7+1.25</f>
        <v>108.44463622813623</v>
      </c>
      <c r="J7" s="6">
        <f t="shared" ref="J7:R7" si="1">+I7+1.25</f>
        <v>109.69463622813623</v>
      </c>
      <c r="K7" s="6">
        <f t="shared" si="1"/>
        <v>110.94463622813623</v>
      </c>
      <c r="L7" s="6">
        <f t="shared" si="1"/>
        <v>112.19463622813623</v>
      </c>
      <c r="M7" s="6">
        <f t="shared" si="1"/>
        <v>113.44463622813623</v>
      </c>
      <c r="N7" s="6">
        <f t="shared" si="1"/>
        <v>114.69463622813623</v>
      </c>
      <c r="O7" s="6">
        <f t="shared" si="1"/>
        <v>115.94463622813623</v>
      </c>
      <c r="P7" s="6">
        <f t="shared" si="1"/>
        <v>117.19463622813623</v>
      </c>
      <c r="Q7" s="6">
        <f t="shared" si="1"/>
        <v>118.44463622813623</v>
      </c>
      <c r="R7" s="6">
        <f t="shared" si="1"/>
        <v>119.69463622813623</v>
      </c>
    </row>
    <row r="8" spans="1:19" ht="15.6">
      <c r="B8" s="4" t="s">
        <v>7</v>
      </c>
      <c r="C8" s="10">
        <f>+C10+C12</f>
        <v>382254.5</v>
      </c>
      <c r="D8" s="10">
        <f>+D10+D12</f>
        <v>384234.3</v>
      </c>
      <c r="E8" s="10">
        <f t="shared" ref="E8" si="2">+E10+E12</f>
        <v>400534.06077348068</v>
      </c>
      <c r="F8" s="10">
        <f>F9*365</f>
        <v>415550.03719800385</v>
      </c>
      <c r="G8" s="10">
        <f t="shared" ref="G8:R8" si="3">G9*365</f>
        <v>437167.00673224631</v>
      </c>
      <c r="H8" s="10">
        <f t="shared" si="3"/>
        <v>447644.08002830896</v>
      </c>
      <c r="I8" s="10">
        <f t="shared" si="3"/>
        <v>463280.34237109614</v>
      </c>
      <c r="J8" s="10">
        <f t="shared" si="3"/>
        <v>481547.90225267829</v>
      </c>
      <c r="K8" s="10">
        <f t="shared" si="3"/>
        <v>497171.16410068015</v>
      </c>
      <c r="L8" s="10">
        <f t="shared" si="3"/>
        <v>512858.91239668208</v>
      </c>
      <c r="M8" s="10">
        <f t="shared" si="3"/>
        <v>528611.14714068396</v>
      </c>
      <c r="N8" s="10">
        <f t="shared" si="3"/>
        <v>543814.90569653607</v>
      </c>
      <c r="O8" s="10">
        <f t="shared" si="3"/>
        <v>550747.54690327658</v>
      </c>
      <c r="P8" s="10">
        <f t="shared" si="3"/>
        <v>576420.87310327659</v>
      </c>
      <c r="Q8" s="10">
        <f t="shared" si="3"/>
        <v>592969.1993032766</v>
      </c>
      <c r="R8" s="10">
        <f t="shared" si="3"/>
        <v>613167.52550327661</v>
      </c>
    </row>
    <row r="9" spans="1:19" ht="15.6">
      <c r="B9" s="4" t="s">
        <v>8</v>
      </c>
      <c r="C9" s="6">
        <f>C8/365</f>
        <v>1047.2726027397259</v>
      </c>
      <c r="D9" s="6">
        <f>D8/365</f>
        <v>1052.696712328767</v>
      </c>
      <c r="E9" s="6">
        <f>E8/365</f>
        <v>1097.353591160221</v>
      </c>
      <c r="F9" s="6">
        <f>F11+F13+F14</f>
        <v>1138.4932525972708</v>
      </c>
      <c r="G9" s="6">
        <f t="shared" ref="G9:R9" si="4">G11+G13+G14</f>
        <v>1197.7178266636886</v>
      </c>
      <c r="H9" s="6">
        <f t="shared" si="4"/>
        <v>1226.4221370638602</v>
      </c>
      <c r="I9" s="6">
        <f t="shared" si="4"/>
        <v>1269.2612119756059</v>
      </c>
      <c r="J9" s="6">
        <f t="shared" si="4"/>
        <v>1319.3093212402146</v>
      </c>
      <c r="K9" s="6">
        <f t="shared" si="4"/>
        <v>1362.1127783580278</v>
      </c>
      <c r="L9" s="6">
        <f t="shared" si="4"/>
        <v>1405.0929106758413</v>
      </c>
      <c r="M9" s="6">
        <f t="shared" si="4"/>
        <v>1448.2497181936546</v>
      </c>
      <c r="N9" s="6">
        <f t="shared" si="4"/>
        <v>1489.9038512233865</v>
      </c>
      <c r="O9" s="6">
        <f t="shared" si="4"/>
        <v>1508.8973887761003</v>
      </c>
      <c r="P9" s="6">
        <f t="shared" si="4"/>
        <v>1579.2352687761004</v>
      </c>
      <c r="Q9" s="6">
        <f t="shared" si="4"/>
        <v>1624.5731487761004</v>
      </c>
      <c r="R9" s="6">
        <f t="shared" si="4"/>
        <v>1679.9110287761005</v>
      </c>
    </row>
    <row r="10" spans="1:19" ht="15.6">
      <c r="B10" s="4" t="s">
        <v>9</v>
      </c>
      <c r="C10" s="6">
        <v>280760.7</v>
      </c>
      <c r="D10" s="6">
        <v>271275.59999999998</v>
      </c>
      <c r="E10" s="6">
        <f>137800/181*365</f>
        <v>277883.97790055251</v>
      </c>
      <c r="F10" s="6">
        <f>F11*366</f>
        <v>283586.25277561601</v>
      </c>
      <c r="G10" s="6">
        <f t="shared" ref="G10:Q12" si="5">G11*365</f>
        <v>292231.70308430801</v>
      </c>
      <c r="H10" s="6">
        <f t="shared" si="5"/>
        <v>301279.08002830902</v>
      </c>
      <c r="I10" s="6">
        <f t="shared" si="5"/>
        <v>309980.34237109608</v>
      </c>
      <c r="J10" s="6">
        <f>J11*366</f>
        <v>319997.21157391858</v>
      </c>
      <c r="K10" s="6">
        <f t="shared" si="5"/>
        <v>325621.16410068015</v>
      </c>
      <c r="L10" s="6">
        <f t="shared" si="5"/>
        <v>332183.91239668208</v>
      </c>
      <c r="M10" s="6">
        <f t="shared" si="5"/>
        <v>338811.14714068401</v>
      </c>
      <c r="N10" s="6">
        <f>N11*366</f>
        <v>345834.80954775948</v>
      </c>
      <c r="O10" s="6">
        <f t="shared" si="5"/>
        <v>349997.54690327664</v>
      </c>
      <c r="P10" s="6">
        <f t="shared" si="5"/>
        <v>353770.87310327671</v>
      </c>
      <c r="Q10" s="6">
        <f t="shared" si="5"/>
        <v>357544.19930327672</v>
      </c>
      <c r="R10" s="6">
        <f>R11*366</f>
        <v>362307.43653205276</v>
      </c>
      <c r="S10" s="27"/>
    </row>
    <row r="11" spans="1:19" ht="15.6">
      <c r="B11" s="4" t="s">
        <v>10</v>
      </c>
      <c r="C11" s="6">
        <f>C10/365</f>
        <v>769.20739726027398</v>
      </c>
      <c r="D11" s="6">
        <f>D10/365</f>
        <v>743.22082191780817</v>
      </c>
      <c r="E11" s="6">
        <f>E10/365</f>
        <v>761.32596685082876</v>
      </c>
      <c r="F11" s="6">
        <f t="shared" ref="F11:R11" si="6">F5*F7/1000</f>
        <v>774.82582725578141</v>
      </c>
      <c r="G11" s="6">
        <f t="shared" si="6"/>
        <v>800.63480297070691</v>
      </c>
      <c r="H11" s="6">
        <f t="shared" si="6"/>
        <v>825.4221370638603</v>
      </c>
      <c r="I11" s="6">
        <f t="shared" si="6"/>
        <v>849.26121197560576</v>
      </c>
      <c r="J11" s="6">
        <f t="shared" si="6"/>
        <v>874.30932124021467</v>
      </c>
      <c r="K11" s="6">
        <f t="shared" si="6"/>
        <v>892.11277835802787</v>
      </c>
      <c r="L11" s="6">
        <f t="shared" si="6"/>
        <v>910.09291067584138</v>
      </c>
      <c r="M11" s="6">
        <f t="shared" si="6"/>
        <v>928.24971819365476</v>
      </c>
      <c r="N11" s="6">
        <f t="shared" si="6"/>
        <v>944.9038512233866</v>
      </c>
      <c r="O11" s="6">
        <f t="shared" si="6"/>
        <v>958.89738877610046</v>
      </c>
      <c r="P11" s="6">
        <f t="shared" si="6"/>
        <v>969.2352687761005</v>
      </c>
      <c r="Q11" s="6">
        <f t="shared" si="6"/>
        <v>979.57314877610054</v>
      </c>
      <c r="R11" s="6">
        <f t="shared" si="6"/>
        <v>989.91102877610047</v>
      </c>
      <c r="S11" s="12"/>
    </row>
    <row r="12" spans="1:19" ht="15.6">
      <c r="B12" s="4" t="s">
        <v>11</v>
      </c>
      <c r="C12" s="6">
        <v>101493.8</v>
      </c>
      <c r="D12" s="6">
        <v>112958.7</v>
      </c>
      <c r="E12" s="6">
        <f>60821/181*365</f>
        <v>122650.08287292818</v>
      </c>
      <c r="F12" s="6">
        <f>F13*366</f>
        <v>133102.27767498512</v>
      </c>
      <c r="G12" s="6">
        <f t="shared" si="5"/>
        <v>144935.3036479383</v>
      </c>
      <c r="H12" s="6">
        <f t="shared" si="5"/>
        <v>146365</v>
      </c>
      <c r="I12" s="6">
        <f t="shared" si="5"/>
        <v>153300</v>
      </c>
      <c r="J12" s="6">
        <f>J13*366</f>
        <v>162870</v>
      </c>
      <c r="K12" s="6">
        <f t="shared" si="5"/>
        <v>171550</v>
      </c>
      <c r="L12" s="6">
        <f t="shared" si="5"/>
        <v>180675</v>
      </c>
      <c r="M12" s="6">
        <f t="shared" si="5"/>
        <v>189800</v>
      </c>
      <c r="N12" s="6">
        <f>N13*366</f>
        <v>199470</v>
      </c>
      <c r="O12" s="6">
        <f t="shared" si="5"/>
        <v>200750</v>
      </c>
      <c r="P12" s="6">
        <f t="shared" si="5"/>
        <v>211700</v>
      </c>
      <c r="Q12" s="6">
        <f t="shared" si="5"/>
        <v>222650</v>
      </c>
      <c r="R12" s="6">
        <f>R13*366</f>
        <v>239730</v>
      </c>
    </row>
    <row r="13" spans="1:19" ht="15.6">
      <c r="B13" s="4" t="s">
        <v>12</v>
      </c>
      <c r="C13" s="6">
        <f>C12/365</f>
        <v>278.06520547945206</v>
      </c>
      <c r="D13" s="6">
        <f>D12/365</f>
        <v>309.47589041095887</v>
      </c>
      <c r="E13" s="6">
        <f>E12/365</f>
        <v>336.02762430939225</v>
      </c>
      <c r="F13" s="6">
        <v>363.66742534148943</v>
      </c>
      <c r="G13" s="6">
        <v>397.08302369298161</v>
      </c>
      <c r="H13" s="6">
        <v>401</v>
      </c>
      <c r="I13" s="6">
        <v>420</v>
      </c>
      <c r="J13" s="6">
        <v>445</v>
      </c>
      <c r="K13" s="6">
        <v>470</v>
      </c>
      <c r="L13" s="6">
        <v>495</v>
      </c>
      <c r="M13" s="6">
        <v>520</v>
      </c>
      <c r="N13" s="6">
        <v>545</v>
      </c>
      <c r="O13" s="6">
        <v>550</v>
      </c>
      <c r="P13" s="6">
        <v>580</v>
      </c>
      <c r="Q13" s="6">
        <v>610</v>
      </c>
      <c r="R13" s="6">
        <v>655</v>
      </c>
      <c r="S13" s="47"/>
    </row>
    <row r="14" spans="1:19" ht="28.9">
      <c r="B14" s="4" t="s">
        <v>13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>
        <v>30</v>
      </c>
      <c r="Q14" s="6">
        <v>35</v>
      </c>
      <c r="R14" s="6">
        <v>35</v>
      </c>
      <c r="S14" s="47"/>
    </row>
    <row r="15" spans="1:19" ht="14.25" customHeight="1">
      <c r="B15" s="8"/>
      <c r="C15" s="8"/>
      <c r="D15" s="1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5"/>
      <c r="R15" s="45"/>
    </row>
    <row r="17" spans="1:19" ht="15.6">
      <c r="A17" s="43">
        <v>2</v>
      </c>
      <c r="B17" s="56" t="s">
        <v>14</v>
      </c>
      <c r="C17" s="56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</row>
    <row r="18" spans="1:19">
      <c r="B18" s="4" t="s">
        <v>1</v>
      </c>
      <c r="C18" s="18">
        <v>2021</v>
      </c>
      <c r="D18" s="18">
        <v>2022</v>
      </c>
      <c r="E18" s="40" t="s">
        <v>2</v>
      </c>
      <c r="F18" s="18">
        <v>2024</v>
      </c>
      <c r="G18" s="18">
        <v>2025</v>
      </c>
      <c r="H18" s="18">
        <v>2026</v>
      </c>
      <c r="I18" s="18">
        <v>2027</v>
      </c>
      <c r="J18" s="18">
        <v>2028</v>
      </c>
      <c r="K18" s="18">
        <v>2029</v>
      </c>
      <c r="L18" s="18">
        <v>2030</v>
      </c>
      <c r="M18" s="18">
        <v>2031</v>
      </c>
      <c r="N18" s="18">
        <v>2032</v>
      </c>
      <c r="O18" s="19">
        <v>2033</v>
      </c>
      <c r="P18" s="19">
        <v>2034</v>
      </c>
      <c r="Q18" s="19">
        <v>2035</v>
      </c>
      <c r="R18" s="19">
        <v>2036</v>
      </c>
    </row>
    <row r="19" spans="1:19">
      <c r="B19" s="4" t="s">
        <v>3</v>
      </c>
      <c r="C19" s="4">
        <v>2518</v>
      </c>
      <c r="D19" s="4">
        <v>2703</v>
      </c>
      <c r="E19" s="50">
        <v>2964</v>
      </c>
      <c r="F19" s="30">
        <v>3216.2560000000003</v>
      </c>
      <c r="G19" s="30">
        <v>3311.2000000000003</v>
      </c>
      <c r="H19" s="30">
        <v>3396.8740000000003</v>
      </c>
      <c r="I19" s="30">
        <v>3447.6940000000004</v>
      </c>
      <c r="J19" s="30">
        <v>3490.4260000000004</v>
      </c>
      <c r="K19" s="30">
        <v>3517.6540000000005</v>
      </c>
      <c r="L19" s="30">
        <v>3544.8820000000005</v>
      </c>
      <c r="M19" s="30">
        <v>3562.8400000000006</v>
      </c>
      <c r="N19" s="30">
        <v>3571.5280000000007</v>
      </c>
      <c r="O19" s="30">
        <v>3572.2000000000007</v>
      </c>
      <c r="P19" s="30">
        <v>3572.2000000000007</v>
      </c>
      <c r="Q19" s="30">
        <v>3572.2000000000007</v>
      </c>
      <c r="R19" s="30">
        <v>3572.2000000000007</v>
      </c>
    </row>
    <row r="20" spans="1:19">
      <c r="B20" s="4" t="s">
        <v>4</v>
      </c>
      <c r="C20" s="6">
        <f>C19*C21/100</f>
        <v>2492.8200000000002</v>
      </c>
      <c r="D20" s="6">
        <f t="shared" ref="D20:E20" si="7">D19*D21/100</f>
        <v>2678.6729999999998</v>
      </c>
      <c r="E20" s="35">
        <f t="shared" si="7"/>
        <v>2940.288</v>
      </c>
      <c r="F20" s="6">
        <f t="shared" ref="F20" si="8">F19*F21/100</f>
        <v>3190.5259520000004</v>
      </c>
      <c r="G20" s="6">
        <f t="shared" ref="G20" si="9">G19*G21/100</f>
        <v>3284.7104000000004</v>
      </c>
      <c r="H20" s="6">
        <f t="shared" ref="H20" si="10">H19*H21/100</f>
        <v>3373.0958820000001</v>
      </c>
      <c r="I20" s="6">
        <f t="shared" ref="I20" si="11">I19*I21/100</f>
        <v>3423.5601420000003</v>
      </c>
      <c r="J20" s="6">
        <f t="shared" ref="J20" si="12">J19*J21/100</f>
        <v>3465.9930180000001</v>
      </c>
      <c r="K20" s="6">
        <f t="shared" ref="K20" si="13">K19*K21/100</f>
        <v>3493.0304220000003</v>
      </c>
      <c r="L20" s="6">
        <f t="shared" ref="L20" si="14">L19*L21/100</f>
        <v>3520.0678260000004</v>
      </c>
      <c r="M20" s="6">
        <f t="shared" ref="M20" si="15">M19*M21/100</f>
        <v>3537.9001200000002</v>
      </c>
      <c r="N20" s="6">
        <f t="shared" ref="N20" si="16">N19*N21/100</f>
        <v>3546.5273040000006</v>
      </c>
      <c r="O20" s="6">
        <f t="shared" ref="O20" si="17">O19*O21/100</f>
        <v>3547.1946000000007</v>
      </c>
      <c r="P20" s="6">
        <f t="shared" ref="P20" si="18">P19*P21/100</f>
        <v>3547.1946000000007</v>
      </c>
      <c r="Q20" s="6">
        <f t="shared" ref="Q20" si="19">Q19*Q21/100</f>
        <v>3547.1946000000007</v>
      </c>
      <c r="R20" s="6">
        <f t="shared" ref="R20" si="20">R19*R21/100</f>
        <v>3547.1946000000007</v>
      </c>
    </row>
    <row r="21" spans="1:19">
      <c r="B21" s="4" t="s">
        <v>15</v>
      </c>
      <c r="C21" s="4">
        <v>99</v>
      </c>
      <c r="D21" s="5">
        <v>99.1</v>
      </c>
      <c r="E21" s="51">
        <v>99.2</v>
      </c>
      <c r="F21" s="5">
        <v>99.2</v>
      </c>
      <c r="G21" s="5">
        <v>99.2</v>
      </c>
      <c r="H21" s="6">
        <v>99.3</v>
      </c>
      <c r="I21" s="6">
        <v>99.3</v>
      </c>
      <c r="J21" s="6">
        <v>99.3</v>
      </c>
      <c r="K21" s="6">
        <v>99.3</v>
      </c>
      <c r="L21" s="6">
        <v>99.3</v>
      </c>
      <c r="M21" s="6">
        <v>99.3</v>
      </c>
      <c r="N21" s="6">
        <v>99.3</v>
      </c>
      <c r="O21" s="6">
        <v>99.3</v>
      </c>
      <c r="P21" s="6">
        <v>99.3</v>
      </c>
      <c r="Q21" s="6">
        <v>99.3</v>
      </c>
      <c r="R21" s="6">
        <v>99.3</v>
      </c>
    </row>
    <row r="22" spans="1:19">
      <c r="B22" s="4" t="s">
        <v>6</v>
      </c>
      <c r="C22" s="6">
        <f>C26/C20*1000</f>
        <v>106.08111427526707</v>
      </c>
      <c r="D22" s="6">
        <f t="shared" ref="D22:E22" si="21">D26/D20*1000</f>
        <v>99.102802021747337</v>
      </c>
      <c r="E22" s="35">
        <f t="shared" si="21"/>
        <v>95.563232382121967</v>
      </c>
      <c r="F22" s="6">
        <f>+E22+1.3</f>
        <v>96.863232382121964</v>
      </c>
      <c r="G22" s="6">
        <f>+F22+1.95</f>
        <v>98.813232382121967</v>
      </c>
      <c r="H22" s="6">
        <f t="shared" ref="H22:R22" si="22">+G22+1.95</f>
        <v>100.76323238212197</v>
      </c>
      <c r="I22" s="6">
        <f t="shared" si="22"/>
        <v>102.71323238212197</v>
      </c>
      <c r="J22" s="6">
        <f t="shared" si="22"/>
        <v>104.66323238212198</v>
      </c>
      <c r="K22" s="6">
        <f t="shared" si="22"/>
        <v>106.61323238212198</v>
      </c>
      <c r="L22" s="6">
        <f t="shared" si="22"/>
        <v>108.56323238212198</v>
      </c>
      <c r="M22" s="6">
        <f t="shared" si="22"/>
        <v>110.51323238212198</v>
      </c>
      <c r="N22" s="6">
        <f t="shared" si="22"/>
        <v>112.46323238212199</v>
      </c>
      <c r="O22" s="6">
        <f t="shared" si="22"/>
        <v>114.41323238212199</v>
      </c>
      <c r="P22" s="6">
        <f t="shared" si="22"/>
        <v>116.36323238212199</v>
      </c>
      <c r="Q22" s="6">
        <f t="shared" si="22"/>
        <v>118.313232382122</v>
      </c>
      <c r="R22" s="6">
        <f t="shared" si="22"/>
        <v>120.263232382122</v>
      </c>
    </row>
    <row r="23" spans="1:19" ht="15.6">
      <c r="B23" s="4" t="s">
        <v>16</v>
      </c>
      <c r="C23" s="10">
        <f>+C25+C27</f>
        <v>105099.9</v>
      </c>
      <c r="D23" s="10">
        <f>+D25+D27</f>
        <v>104864.4</v>
      </c>
      <c r="E23" s="52">
        <f t="shared" ref="E23" si="23">+E25+E27</f>
        <v>111034.61325966852</v>
      </c>
      <c r="F23" s="10">
        <f>F24*365</f>
        <v>122655.94289505531</v>
      </c>
      <c r="G23" s="10">
        <f t="shared" ref="G23" si="24">G24*365</f>
        <v>129229.2285490724</v>
      </c>
      <c r="H23" s="10">
        <f t="shared" ref="H23" si="25">H24*365</f>
        <v>137197.67613487781</v>
      </c>
      <c r="I23" s="10">
        <f t="shared" ref="I23" si="26">I24*365</f>
        <v>159375.39888038702</v>
      </c>
      <c r="J23" s="10">
        <f t="shared" ref="J23" si="27">J24*365</f>
        <v>165988.14192737738</v>
      </c>
      <c r="K23" s="10">
        <f t="shared" ref="K23" si="28">K24*365</f>
        <v>172427.19139595528</v>
      </c>
      <c r="L23" s="10">
        <f t="shared" ref="L23" si="29">L24*365</f>
        <v>178904.72860912717</v>
      </c>
      <c r="M23" s="10">
        <f t="shared" ref="M23" si="30">M24*365</f>
        <v>183589.44400879851</v>
      </c>
      <c r="N23" s="10">
        <f t="shared" ref="N23" si="31">N24*365</f>
        <v>189381.68238384183</v>
      </c>
      <c r="O23" s="10">
        <f t="shared" ref="O23" si="32">O24*365</f>
        <v>193393.79002715906</v>
      </c>
      <c r="P23" s="10">
        <f t="shared" ref="P23" si="33">P24*365</f>
        <v>225118.50578370906</v>
      </c>
      <c r="Q23" s="10">
        <f t="shared" ref="Q23" si="34">Q24*365</f>
        <v>249543.22154025905</v>
      </c>
      <c r="R23" s="10">
        <f t="shared" ref="R23" si="35">R24*365</f>
        <v>273967.9372968091</v>
      </c>
    </row>
    <row r="24" spans="1:19" ht="15.6">
      <c r="B24" s="4" t="s">
        <v>17</v>
      </c>
      <c r="C24" s="22">
        <f t="shared" ref="C24:D24" si="36">C26+C28</f>
        <v>287.94493150684934</v>
      </c>
      <c r="D24" s="22">
        <f t="shared" si="36"/>
        <v>287.29972602739724</v>
      </c>
      <c r="E24" s="35">
        <f>E23/365</f>
        <v>304.20441988950279</v>
      </c>
      <c r="F24" s="6">
        <f>F26+F28+F29</f>
        <v>336.04367916453509</v>
      </c>
      <c r="G24" s="6">
        <f t="shared" ref="G24:R24" si="37">G26+G28+G29</f>
        <v>354.05268095636274</v>
      </c>
      <c r="H24" s="6">
        <f t="shared" si="37"/>
        <v>375.88404420514468</v>
      </c>
      <c r="I24" s="6">
        <f t="shared" si="37"/>
        <v>436.6449284394165</v>
      </c>
      <c r="J24" s="6">
        <f t="shared" si="37"/>
        <v>454.76203267774628</v>
      </c>
      <c r="K24" s="6">
        <f t="shared" si="37"/>
        <v>472.40326409850763</v>
      </c>
      <c r="L24" s="6">
        <f t="shared" si="37"/>
        <v>490.14994139486896</v>
      </c>
      <c r="M24" s="6">
        <f t="shared" si="37"/>
        <v>502.98477810629731</v>
      </c>
      <c r="N24" s="6">
        <f t="shared" si="37"/>
        <v>518.85392433929269</v>
      </c>
      <c r="O24" s="6">
        <f t="shared" si="37"/>
        <v>529.84600007440838</v>
      </c>
      <c r="P24" s="6">
        <f t="shared" si="37"/>
        <v>616.76302954440837</v>
      </c>
      <c r="Q24" s="6">
        <f t="shared" si="37"/>
        <v>683.68005901440836</v>
      </c>
      <c r="R24" s="6">
        <f t="shared" si="37"/>
        <v>750.59708848440846</v>
      </c>
    </row>
    <row r="25" spans="1:19" ht="15.6">
      <c r="B25" s="4" t="s">
        <v>18</v>
      </c>
      <c r="C25" s="21">
        <v>96521.01</v>
      </c>
      <c r="D25" s="22">
        <v>96894.36</v>
      </c>
      <c r="E25" s="53">
        <f>50858/181*365</f>
        <v>102558.95027624311</v>
      </c>
      <c r="F25" s="6">
        <f>F26*366</f>
        <v>113110.34435577471</v>
      </c>
      <c r="G25" s="6">
        <f t="shared" ref="G25:Q25" si="38">G26*365</f>
        <v>118469.09100305809</v>
      </c>
      <c r="H25" s="6">
        <f t="shared" si="38"/>
        <v>124057.67613487781</v>
      </c>
      <c r="I25" s="6">
        <f t="shared" si="38"/>
        <v>128350.39888038703</v>
      </c>
      <c r="J25" s="6">
        <f>J26*366</f>
        <v>132770.90396005515</v>
      </c>
      <c r="K25" s="6">
        <f t="shared" si="38"/>
        <v>135927.19139595528</v>
      </c>
      <c r="L25" s="6">
        <f t="shared" si="38"/>
        <v>139484.72860912717</v>
      </c>
      <c r="M25" s="6">
        <f t="shared" si="38"/>
        <v>142709.44400879851</v>
      </c>
      <c r="N25" s="6">
        <f>N26*366</f>
        <v>145980.53630818112</v>
      </c>
      <c r="O25" s="6">
        <f t="shared" si="38"/>
        <v>148133.79002715906</v>
      </c>
      <c r="P25" s="6">
        <f t="shared" si="38"/>
        <v>150658.50578370906</v>
      </c>
      <c r="Q25" s="6">
        <f t="shared" si="38"/>
        <v>153183.22154025905</v>
      </c>
      <c r="R25" s="6">
        <f>R26*366</f>
        <v>156134.53438529349</v>
      </c>
    </row>
    <row r="26" spans="1:19" ht="15.6">
      <c r="B26" s="4" t="s">
        <v>19</v>
      </c>
      <c r="C26" s="22">
        <f>C25/365</f>
        <v>264.44112328767125</v>
      </c>
      <c r="D26" s="22">
        <f>D25/365</f>
        <v>265.464</v>
      </c>
      <c r="E26" s="35">
        <f>E25/365</f>
        <v>280.98342541436466</v>
      </c>
      <c r="F26" s="6">
        <f t="shared" ref="F26:R26" si="39">F20*F22/1000</f>
        <v>309.04465670976697</v>
      </c>
      <c r="G26" s="6">
        <f t="shared" si="39"/>
        <v>324.57285206317283</v>
      </c>
      <c r="H26" s="6">
        <f t="shared" si="39"/>
        <v>339.88404420514468</v>
      </c>
      <c r="I26" s="6">
        <f t="shared" si="39"/>
        <v>351.6449284394165</v>
      </c>
      <c r="J26" s="6">
        <f t="shared" si="39"/>
        <v>362.76203267774628</v>
      </c>
      <c r="K26" s="6">
        <f t="shared" si="39"/>
        <v>372.40326409850763</v>
      </c>
      <c r="L26" s="6">
        <f t="shared" si="39"/>
        <v>382.14994139486896</v>
      </c>
      <c r="M26" s="6">
        <f t="shared" si="39"/>
        <v>390.98477810629731</v>
      </c>
      <c r="N26" s="6">
        <f t="shared" si="39"/>
        <v>398.85392433929269</v>
      </c>
      <c r="O26" s="6">
        <f t="shared" si="39"/>
        <v>405.84600007440838</v>
      </c>
      <c r="P26" s="6">
        <f t="shared" si="39"/>
        <v>412.76302954440837</v>
      </c>
      <c r="Q26" s="6">
        <f t="shared" si="39"/>
        <v>419.68005901440836</v>
      </c>
      <c r="R26" s="6">
        <f t="shared" si="39"/>
        <v>426.5970884844084</v>
      </c>
    </row>
    <row r="27" spans="1:19" ht="15.6">
      <c r="B27" s="4" t="s">
        <v>11</v>
      </c>
      <c r="C27" s="22">
        <v>8578.89</v>
      </c>
      <c r="D27" s="23">
        <v>7970.04</v>
      </c>
      <c r="E27" s="35">
        <f>4203/181*365</f>
        <v>8475.6629834254145</v>
      </c>
      <c r="F27" s="6">
        <f>F28*366</f>
        <v>9881.6422184451312</v>
      </c>
      <c r="G27" s="6">
        <f t="shared" ref="G27:Q27" si="40">G28*365</f>
        <v>10760.137546014324</v>
      </c>
      <c r="H27" s="6">
        <f t="shared" si="40"/>
        <v>13140</v>
      </c>
      <c r="I27" s="6">
        <f t="shared" si="40"/>
        <v>31025</v>
      </c>
      <c r="J27" s="6">
        <f>J28*366</f>
        <v>33672</v>
      </c>
      <c r="K27" s="6">
        <f t="shared" si="40"/>
        <v>36500</v>
      </c>
      <c r="L27" s="6">
        <f t="shared" si="40"/>
        <v>39420</v>
      </c>
      <c r="M27" s="6">
        <f t="shared" si="40"/>
        <v>40880</v>
      </c>
      <c r="N27" s="6">
        <f>N28*366</f>
        <v>43920</v>
      </c>
      <c r="O27" s="6">
        <f t="shared" si="40"/>
        <v>45260</v>
      </c>
      <c r="P27" s="6">
        <f t="shared" si="40"/>
        <v>52560</v>
      </c>
      <c r="Q27" s="6">
        <f t="shared" si="40"/>
        <v>74460</v>
      </c>
      <c r="R27" s="6">
        <f>R28*366</f>
        <v>96624</v>
      </c>
    </row>
    <row r="28" spans="1:19" ht="15.6">
      <c r="B28" s="4" t="s">
        <v>12</v>
      </c>
      <c r="C28" s="22">
        <f>C27/365</f>
        <v>23.503808219178079</v>
      </c>
      <c r="D28" s="22">
        <f>D27/365</f>
        <v>21.835726027397261</v>
      </c>
      <c r="E28" s="35">
        <f>E27/365</f>
        <v>23.220994475138124</v>
      </c>
      <c r="F28" s="6">
        <v>26.999022454768117</v>
      </c>
      <c r="G28" s="6">
        <v>29.479828893189929</v>
      </c>
      <c r="H28" s="6">
        <v>36</v>
      </c>
      <c r="I28" s="6">
        <v>85</v>
      </c>
      <c r="J28" s="6">
        <v>92</v>
      </c>
      <c r="K28" s="6">
        <v>100</v>
      </c>
      <c r="L28" s="6">
        <v>108</v>
      </c>
      <c r="M28" s="6">
        <v>112</v>
      </c>
      <c r="N28" s="6">
        <v>120</v>
      </c>
      <c r="O28" s="6">
        <v>124</v>
      </c>
      <c r="P28" s="6">
        <v>144</v>
      </c>
      <c r="Q28" s="6">
        <v>204</v>
      </c>
      <c r="R28" s="6">
        <v>264</v>
      </c>
      <c r="S28" s="31"/>
    </row>
    <row r="29" spans="1:19" ht="28.9">
      <c r="B29" s="4" t="s">
        <v>13</v>
      </c>
      <c r="C29" s="6"/>
      <c r="D29" s="6"/>
      <c r="E29" s="49"/>
      <c r="F29" s="6"/>
      <c r="G29" s="6"/>
      <c r="H29" s="6"/>
      <c r="I29" s="6"/>
      <c r="J29" s="6"/>
      <c r="K29" s="6"/>
      <c r="L29" s="6"/>
      <c r="M29" s="6"/>
      <c r="N29" s="6"/>
      <c r="O29" s="6"/>
      <c r="P29" s="6">
        <v>60</v>
      </c>
      <c r="Q29" s="6">
        <v>60</v>
      </c>
      <c r="R29" s="6">
        <v>60</v>
      </c>
    </row>
    <row r="30" spans="1:19">
      <c r="B30" s="11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19"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</row>
    <row r="32" spans="1:19" ht="15.6">
      <c r="A32" s="43">
        <v>3</v>
      </c>
      <c r="B32" s="54" t="s">
        <v>20</v>
      </c>
      <c r="C32" s="54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24"/>
      <c r="R32" s="24"/>
    </row>
    <row r="33" spans="1:19">
      <c r="B33" s="4" t="s">
        <v>1</v>
      </c>
      <c r="C33" s="18">
        <v>2021</v>
      </c>
      <c r="D33" s="18">
        <v>2022</v>
      </c>
      <c r="E33" s="18" t="s">
        <v>2</v>
      </c>
      <c r="F33" s="18">
        <v>2024</v>
      </c>
      <c r="G33" s="18">
        <v>2025</v>
      </c>
      <c r="H33" s="18">
        <v>2026</v>
      </c>
      <c r="I33" s="18">
        <v>2027</v>
      </c>
      <c r="J33" s="18">
        <v>2028</v>
      </c>
      <c r="K33" s="18">
        <v>2029</v>
      </c>
      <c r="L33" s="18">
        <v>2030</v>
      </c>
      <c r="M33" s="18">
        <v>2031</v>
      </c>
      <c r="N33" s="18">
        <v>2032</v>
      </c>
      <c r="O33" s="19">
        <v>2033</v>
      </c>
      <c r="P33" s="19">
        <v>2034</v>
      </c>
      <c r="Q33" s="19">
        <v>2035</v>
      </c>
      <c r="R33" s="19">
        <v>2036</v>
      </c>
    </row>
    <row r="34" spans="1:19">
      <c r="B34" s="4" t="s">
        <v>3</v>
      </c>
      <c r="C34" s="4">
        <v>666</v>
      </c>
      <c r="D34" s="4">
        <v>706</v>
      </c>
      <c r="E34" s="6">
        <v>941.86</v>
      </c>
      <c r="F34" s="6">
        <v>1013.72</v>
      </c>
      <c r="G34" s="6">
        <v>1077.42</v>
      </c>
      <c r="H34" s="6">
        <v>1132.96</v>
      </c>
      <c r="I34" s="6">
        <v>1146.9160000000002</v>
      </c>
      <c r="J34" s="6">
        <v>1160.8720000000003</v>
      </c>
      <c r="K34" s="6">
        <v>1174.8280000000004</v>
      </c>
      <c r="L34" s="6">
        <v>1188.7840000000006</v>
      </c>
      <c r="M34" s="6">
        <v>1202.7400000000007</v>
      </c>
      <c r="N34" s="6">
        <v>1216.6960000000008</v>
      </c>
      <c r="O34" s="6">
        <v>1221.4000000000008</v>
      </c>
      <c r="P34" s="6">
        <v>1221.4000000000008</v>
      </c>
      <c r="Q34" s="6">
        <v>1221.4000000000008</v>
      </c>
      <c r="R34" s="6">
        <v>1221.4000000000008</v>
      </c>
    </row>
    <row r="35" spans="1:19">
      <c r="B35" s="4" t="s">
        <v>4</v>
      </c>
      <c r="C35" s="6">
        <f>C34*C36/100</f>
        <v>619.38</v>
      </c>
      <c r="D35" s="6">
        <f>D34*D36/100</f>
        <v>656.58</v>
      </c>
      <c r="E35" s="6">
        <f t="shared" ref="E35:R35" si="41">E34*E36/100</f>
        <v>895.70885999999996</v>
      </c>
      <c r="F35" s="6">
        <f t="shared" si="41"/>
        <v>967.08888000000002</v>
      </c>
      <c r="G35" s="6">
        <f t="shared" si="41"/>
        <v>1031.09094</v>
      </c>
      <c r="H35" s="6">
        <f t="shared" si="41"/>
        <v>1086.5086400000002</v>
      </c>
      <c r="I35" s="6">
        <f t="shared" si="41"/>
        <v>1099.8924440000003</v>
      </c>
      <c r="J35" s="6">
        <f t="shared" si="41"/>
        <v>1114.4371200000003</v>
      </c>
      <c r="K35" s="6">
        <f t="shared" si="41"/>
        <v>1127.8348800000003</v>
      </c>
      <c r="L35" s="6">
        <f t="shared" si="41"/>
        <v>1142.4214240000003</v>
      </c>
      <c r="M35" s="6">
        <f t="shared" si="41"/>
        <v>1155.8331400000006</v>
      </c>
      <c r="N35" s="6">
        <f t="shared" si="41"/>
        <v>1170.4615520000009</v>
      </c>
      <c r="O35" s="6">
        <f t="shared" si="41"/>
        <v>1174.9868000000008</v>
      </c>
      <c r="P35" s="6">
        <f t="shared" si="41"/>
        <v>1174.9868000000008</v>
      </c>
      <c r="Q35" s="6">
        <f t="shared" si="41"/>
        <v>1174.9868000000008</v>
      </c>
      <c r="R35" s="6">
        <f t="shared" si="41"/>
        <v>1174.9868000000008</v>
      </c>
    </row>
    <row r="36" spans="1:19">
      <c r="B36" s="4" t="s">
        <v>5</v>
      </c>
      <c r="C36" s="6">
        <v>93</v>
      </c>
      <c r="D36" s="6">
        <v>93</v>
      </c>
      <c r="E36" s="6">
        <v>95.1</v>
      </c>
      <c r="F36" s="6">
        <v>95.4</v>
      </c>
      <c r="G36" s="6">
        <v>95.7</v>
      </c>
      <c r="H36" s="6">
        <v>95.9</v>
      </c>
      <c r="I36" s="6">
        <v>95.9</v>
      </c>
      <c r="J36" s="6">
        <v>96</v>
      </c>
      <c r="K36" s="6">
        <v>96</v>
      </c>
      <c r="L36" s="6">
        <v>96.1</v>
      </c>
      <c r="M36" s="6">
        <v>96.1</v>
      </c>
      <c r="N36" s="6">
        <v>96.2</v>
      </c>
      <c r="O36" s="6">
        <v>96.2</v>
      </c>
      <c r="P36" s="6">
        <v>96.2</v>
      </c>
      <c r="Q36" s="6">
        <v>96.2</v>
      </c>
      <c r="R36" s="6">
        <v>96.2</v>
      </c>
    </row>
    <row r="37" spans="1:19">
      <c r="B37" s="4" t="s">
        <v>6</v>
      </c>
      <c r="C37" s="6">
        <f>C41/C35*1000</f>
        <v>170.7570141949285</v>
      </c>
      <c r="D37" s="6">
        <f>D41/D35*1000</f>
        <v>166.80223841516667</v>
      </c>
      <c r="E37" s="6">
        <f>D37-2.6</f>
        <v>164.20223841516668</v>
      </c>
      <c r="F37" s="6">
        <f t="shared" ref="F37:P37" si="42">E37-2.6</f>
        <v>161.60223841516668</v>
      </c>
      <c r="G37" s="6">
        <f t="shared" si="42"/>
        <v>159.00223841516669</v>
      </c>
      <c r="H37" s="6">
        <f t="shared" si="42"/>
        <v>156.40223841516669</v>
      </c>
      <c r="I37" s="6">
        <f t="shared" si="42"/>
        <v>153.8022384151667</v>
      </c>
      <c r="J37" s="6">
        <f t="shared" si="42"/>
        <v>151.2022384151667</v>
      </c>
      <c r="K37" s="6">
        <f t="shared" si="42"/>
        <v>148.60223841516671</v>
      </c>
      <c r="L37" s="6">
        <f t="shared" si="42"/>
        <v>146.00223841516672</v>
      </c>
      <c r="M37" s="6">
        <f t="shared" si="42"/>
        <v>143.40223841516672</v>
      </c>
      <c r="N37" s="6">
        <f t="shared" si="42"/>
        <v>140.80223841516673</v>
      </c>
      <c r="O37" s="6">
        <f t="shared" si="42"/>
        <v>138.20223841516673</v>
      </c>
      <c r="P37" s="6">
        <f t="shared" si="42"/>
        <v>135.60223841516674</v>
      </c>
      <c r="Q37" s="6">
        <v>134</v>
      </c>
      <c r="R37" s="6">
        <v>130</v>
      </c>
    </row>
    <row r="38" spans="1:19" ht="15.6">
      <c r="B38" s="4" t="s">
        <v>16</v>
      </c>
      <c r="C38" s="10">
        <f>+C40+C42</f>
        <v>43760.37</v>
      </c>
      <c r="D38" s="10">
        <f>+D40+D42</f>
        <v>45219.460000000006</v>
      </c>
      <c r="E38" s="10">
        <f t="shared" ref="E38" si="43">+E40+E42</f>
        <v>48515.363744178649</v>
      </c>
      <c r="F38" s="10">
        <f>F39*365</f>
        <v>63132.487706033753</v>
      </c>
      <c r="G38" s="10">
        <f t="shared" ref="G38" si="44">G39*365</f>
        <v>68965.205126403394</v>
      </c>
      <c r="H38" s="10">
        <f t="shared" ref="H38" si="45">H39*365</f>
        <v>74070.319923997769</v>
      </c>
      <c r="I38" s="10">
        <f t="shared" ref="I38" si="46">I39*365</f>
        <v>73790.560764641879</v>
      </c>
      <c r="J38" s="10">
        <f t="shared" ref="J38" si="47">J39*365</f>
        <v>73549.46629768741</v>
      </c>
      <c r="K38" s="10">
        <f t="shared" ref="K38" si="48">K39*365</f>
        <v>73218.55752170585</v>
      </c>
      <c r="L38" s="10">
        <f t="shared" ref="L38" si="49">L39*365</f>
        <v>73655.571067866433</v>
      </c>
      <c r="M38" s="10">
        <f t="shared" ref="M38" si="50">M39*365</f>
        <v>74038.461916787244</v>
      </c>
      <c r="N38" s="10">
        <f t="shared" ref="N38" si="51">N39*365</f>
        <v>74753.316372678921</v>
      </c>
      <c r="O38" s="10">
        <f t="shared" ref="O38" si="52">O39*365</f>
        <v>74548.32848414687</v>
      </c>
      <c r="P38" s="10">
        <f t="shared" ref="P38" si="53">P39*365</f>
        <v>74077.389006888523</v>
      </c>
      <c r="Q38" s="10">
        <f t="shared" ref="Q38" si="54">Q39*365</f>
        <v>74044.551386834763</v>
      </c>
      <c r="R38" s="10">
        <f t="shared" ref="R38" si="55">R39*365</f>
        <v>73638.123660000041</v>
      </c>
    </row>
    <row r="39" spans="1:19" ht="15.6">
      <c r="B39" s="4" t="s">
        <v>17</v>
      </c>
      <c r="C39" s="6">
        <f t="shared" ref="C39" si="56">C41+C43</f>
        <v>119.89142465753426</v>
      </c>
      <c r="D39" s="6">
        <f t="shared" ref="D39" si="57">D41+D43</f>
        <v>123.88893150684933</v>
      </c>
      <c r="E39" s="6">
        <f>E38/365</f>
        <v>132.91880477857163</v>
      </c>
      <c r="F39" s="6">
        <f>F41+F43+F44</f>
        <v>172.96571974255824</v>
      </c>
      <c r="G39" s="6">
        <f t="shared" ref="G39:R39" si="58">G41+G43+G44</f>
        <v>188.94576746959834</v>
      </c>
      <c r="H39" s="6">
        <f t="shared" si="58"/>
        <v>202.93238335341854</v>
      </c>
      <c r="I39" s="6">
        <f t="shared" si="58"/>
        <v>202.16591990312844</v>
      </c>
      <c r="J39" s="6">
        <f t="shared" si="58"/>
        <v>201.50538711695179</v>
      </c>
      <c r="K39" s="6">
        <f t="shared" si="58"/>
        <v>200.59878773070096</v>
      </c>
      <c r="L39" s="6">
        <f t="shared" si="58"/>
        <v>201.79608511744229</v>
      </c>
      <c r="M39" s="6">
        <f t="shared" si="58"/>
        <v>202.84510114188288</v>
      </c>
      <c r="N39" s="6">
        <f t="shared" si="58"/>
        <v>204.80360650049019</v>
      </c>
      <c r="O39" s="6">
        <f t="shared" si="58"/>
        <v>204.24199584697772</v>
      </c>
      <c r="P39" s="6">
        <f t="shared" si="58"/>
        <v>202.95175070380418</v>
      </c>
      <c r="Q39" s="6">
        <f t="shared" si="58"/>
        <v>202.86178462146512</v>
      </c>
      <c r="R39" s="6">
        <f t="shared" si="58"/>
        <v>201.7482840000001</v>
      </c>
    </row>
    <row r="40" spans="1:19" ht="15.6">
      <c r="B40" s="4" t="s">
        <v>18</v>
      </c>
      <c r="C40" s="6">
        <v>38603.670000000006</v>
      </c>
      <c r="D40" s="6">
        <v>39974.44</v>
      </c>
      <c r="E40" s="6">
        <f>22494/191*365</f>
        <v>42985.916230366493</v>
      </c>
      <c r="F40" s="6">
        <f>F41*366</f>
        <v>57199.844358116454</v>
      </c>
      <c r="G40" s="6">
        <f t="shared" ref="G40:Q40" si="59">G41*365</f>
        <v>59840.205126403394</v>
      </c>
      <c r="H40" s="6">
        <f t="shared" si="59"/>
        <v>62025.319923997769</v>
      </c>
      <c r="I40" s="6">
        <f t="shared" si="59"/>
        <v>61745.560764641879</v>
      </c>
      <c r="J40" s="6">
        <f>J41*366</f>
        <v>61672.971684804354</v>
      </c>
      <c r="K40" s="6">
        <f t="shared" si="59"/>
        <v>61173.55752170585</v>
      </c>
      <c r="L40" s="6">
        <f t="shared" si="59"/>
        <v>60880.571067866433</v>
      </c>
      <c r="M40" s="6">
        <f t="shared" si="59"/>
        <v>60498.40672130727</v>
      </c>
      <c r="N40" s="6">
        <f>N41*366</f>
        <v>60318.119979179406</v>
      </c>
      <c r="O40" s="6">
        <f t="shared" si="59"/>
        <v>59270.819141919994</v>
      </c>
      <c r="P40" s="6">
        <f t="shared" si="59"/>
        <v>58155.756668719994</v>
      </c>
      <c r="Q40" s="6">
        <f t="shared" si="59"/>
        <v>57468.604388000036</v>
      </c>
      <c r="R40" s="6">
        <f>R41*366</f>
        <v>55905.871944000035</v>
      </c>
    </row>
    <row r="41" spans="1:19" ht="15.6">
      <c r="B41" s="4" t="s">
        <v>19</v>
      </c>
      <c r="C41" s="6">
        <f>C40/365</f>
        <v>105.76347945205481</v>
      </c>
      <c r="D41" s="6">
        <f>D40/365</f>
        <v>109.51901369863015</v>
      </c>
      <c r="E41" s="6">
        <f>E40/365</f>
        <v>117.7696335078534</v>
      </c>
      <c r="F41" s="6">
        <f t="shared" ref="F41:R41" si="60">F35*F37/1000</f>
        <v>156.28372775441653</v>
      </c>
      <c r="G41" s="6">
        <f t="shared" si="60"/>
        <v>163.94576746959834</v>
      </c>
      <c r="H41" s="6">
        <f t="shared" si="60"/>
        <v>169.93238335341854</v>
      </c>
      <c r="I41" s="6">
        <f t="shared" si="60"/>
        <v>169.16591990312844</v>
      </c>
      <c r="J41" s="6">
        <f t="shared" si="60"/>
        <v>168.50538711695179</v>
      </c>
      <c r="K41" s="6">
        <f t="shared" si="60"/>
        <v>167.59878773070096</v>
      </c>
      <c r="L41" s="6">
        <f t="shared" si="60"/>
        <v>166.79608511744229</v>
      </c>
      <c r="M41" s="6">
        <f t="shared" si="60"/>
        <v>165.74905951043087</v>
      </c>
      <c r="N41" s="6">
        <f t="shared" si="60"/>
        <v>164.80360650049019</v>
      </c>
      <c r="O41" s="6">
        <f t="shared" si="60"/>
        <v>162.38580586827396</v>
      </c>
      <c r="P41" s="6">
        <f t="shared" si="60"/>
        <v>159.33084018827395</v>
      </c>
      <c r="Q41" s="6">
        <f t="shared" si="60"/>
        <v>157.44823120000009</v>
      </c>
      <c r="R41" s="6">
        <f t="shared" si="60"/>
        <v>152.7482840000001</v>
      </c>
    </row>
    <row r="42" spans="1:19" ht="15.6">
      <c r="B42" s="4" t="s">
        <v>21</v>
      </c>
      <c r="C42" s="6">
        <v>5156.7</v>
      </c>
      <c r="D42" s="17">
        <v>5245.02</v>
      </c>
      <c r="E42" s="6">
        <f>2742/181*365</f>
        <v>5529.4475138121552</v>
      </c>
      <c r="F42" s="6">
        <f>F43*366</f>
        <v>6105.6090676598687</v>
      </c>
      <c r="G42" s="6">
        <f t="shared" ref="G42:Q42" si="61">G43*365</f>
        <v>9125</v>
      </c>
      <c r="H42" s="6">
        <f t="shared" si="61"/>
        <v>12045</v>
      </c>
      <c r="I42" s="6">
        <f t="shared" si="61"/>
        <v>12045</v>
      </c>
      <c r="J42" s="6">
        <f>J43*366</f>
        <v>12078</v>
      </c>
      <c r="K42" s="6">
        <f t="shared" si="61"/>
        <v>12045</v>
      </c>
      <c r="L42" s="6">
        <f t="shared" si="61"/>
        <v>12775</v>
      </c>
      <c r="M42" s="6">
        <f t="shared" si="61"/>
        <v>13540.055195479988</v>
      </c>
      <c r="N42" s="6">
        <f>N43*366</f>
        <v>14640</v>
      </c>
      <c r="O42" s="6">
        <f t="shared" si="61"/>
        <v>15277.509342226867</v>
      </c>
      <c r="P42" s="6">
        <f t="shared" si="61"/>
        <v>15921.632338168527</v>
      </c>
      <c r="Q42" s="6">
        <f t="shared" si="61"/>
        <v>16575.946998834737</v>
      </c>
      <c r="R42" s="6">
        <f>R43*366</f>
        <v>17934</v>
      </c>
    </row>
    <row r="43" spans="1:19" ht="15.6">
      <c r="B43" s="4" t="s">
        <v>22</v>
      </c>
      <c r="C43" s="6">
        <f t="shared" ref="C43:D43" si="62">C42/365</f>
        <v>14.127945205479451</v>
      </c>
      <c r="D43" s="6">
        <f t="shared" si="62"/>
        <v>14.36991780821918</v>
      </c>
      <c r="E43" s="6">
        <f>E42/365</f>
        <v>15.149171270718233</v>
      </c>
      <c r="F43" s="6">
        <v>16.681991988141718</v>
      </c>
      <c r="G43" s="6">
        <v>25</v>
      </c>
      <c r="H43" s="6">
        <v>33</v>
      </c>
      <c r="I43" s="6">
        <v>33</v>
      </c>
      <c r="J43" s="6">
        <v>33</v>
      </c>
      <c r="K43" s="6">
        <v>33</v>
      </c>
      <c r="L43" s="6">
        <v>35</v>
      </c>
      <c r="M43" s="6">
        <v>37.096041631452024</v>
      </c>
      <c r="N43" s="6">
        <v>40</v>
      </c>
      <c r="O43" s="6">
        <v>41.856189978703746</v>
      </c>
      <c r="P43" s="6">
        <v>43.620910515530213</v>
      </c>
      <c r="Q43" s="6">
        <v>45.413553421465032</v>
      </c>
      <c r="R43" s="6">
        <v>49</v>
      </c>
      <c r="S43" s="31"/>
    </row>
    <row r="44" spans="1:19"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</row>
    <row r="46" spans="1:19" ht="13.5" customHeight="1">
      <c r="A46" s="43">
        <v>4</v>
      </c>
      <c r="B46" s="54" t="s">
        <v>23</v>
      </c>
      <c r="C46" s="54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24"/>
      <c r="R46" s="24"/>
    </row>
    <row r="47" spans="1:19">
      <c r="B47" s="4" t="s">
        <v>1</v>
      </c>
      <c r="C47" s="18">
        <v>2021</v>
      </c>
      <c r="D47" s="18">
        <v>2022</v>
      </c>
      <c r="E47" s="18" t="s">
        <v>2</v>
      </c>
      <c r="F47" s="18">
        <v>2024</v>
      </c>
      <c r="G47" s="18">
        <v>2025</v>
      </c>
      <c r="H47" s="18">
        <v>2026</v>
      </c>
      <c r="I47" s="18">
        <v>2027</v>
      </c>
      <c r="J47" s="18">
        <v>2028</v>
      </c>
      <c r="K47" s="18">
        <v>2029</v>
      </c>
      <c r="L47" s="18">
        <v>2030</v>
      </c>
      <c r="M47" s="18">
        <v>2031</v>
      </c>
      <c r="N47" s="18">
        <v>2032</v>
      </c>
      <c r="O47" s="19">
        <v>2033</v>
      </c>
      <c r="P47" s="19">
        <v>2034</v>
      </c>
      <c r="Q47" s="19">
        <v>2035</v>
      </c>
      <c r="R47" s="19">
        <v>2036</v>
      </c>
    </row>
    <row r="48" spans="1:19">
      <c r="B48" s="4" t="s">
        <v>3</v>
      </c>
      <c r="C48" s="4">
        <v>619</v>
      </c>
      <c r="D48" s="4">
        <v>587</v>
      </c>
      <c r="E48" s="6">
        <v>698.88</v>
      </c>
      <c r="F48" s="6">
        <v>768.62</v>
      </c>
      <c r="G48" s="6">
        <v>833.32</v>
      </c>
      <c r="H48" s="6">
        <v>901.0200000000001</v>
      </c>
      <c r="I48" s="6">
        <v>968.72000000000014</v>
      </c>
      <c r="J48" s="6">
        <v>1017.58</v>
      </c>
      <c r="K48" s="6">
        <v>1060.4399999999998</v>
      </c>
      <c r="L48" s="6">
        <v>1097.2999999999997</v>
      </c>
      <c r="M48" s="6">
        <v>1125.1599999999996</v>
      </c>
      <c r="N48" s="6">
        <v>1153.0199999999995</v>
      </c>
      <c r="O48" s="6">
        <v>1157.9999999999995</v>
      </c>
      <c r="P48" s="6">
        <v>1160.9999999999995</v>
      </c>
      <c r="Q48" s="6">
        <v>1163.9999999999995</v>
      </c>
      <c r="R48" s="6">
        <v>1166.9999999999995</v>
      </c>
    </row>
    <row r="49" spans="1:19">
      <c r="B49" s="4" t="s">
        <v>4</v>
      </c>
      <c r="C49" s="6">
        <f>C48*C50/100</f>
        <v>581.86</v>
      </c>
      <c r="D49" s="6">
        <f t="shared" ref="D49:R49" si="63">D48*D50/100</f>
        <v>545.91</v>
      </c>
      <c r="E49" s="6">
        <v>550</v>
      </c>
      <c r="F49" s="6">
        <f t="shared" si="63"/>
        <v>731.72623999999996</v>
      </c>
      <c r="G49" s="6">
        <f t="shared" si="63"/>
        <v>795.82060000000001</v>
      </c>
      <c r="H49" s="6">
        <f t="shared" si="63"/>
        <v>864.07818000000009</v>
      </c>
      <c r="I49" s="6">
        <f t="shared" si="63"/>
        <v>931.9086400000001</v>
      </c>
      <c r="J49" s="6">
        <f t="shared" si="63"/>
        <v>980.94712000000015</v>
      </c>
      <c r="K49" s="6">
        <f t="shared" si="63"/>
        <v>1023.3245999999998</v>
      </c>
      <c r="L49" s="6">
        <f t="shared" si="63"/>
        <v>1059.9917999999996</v>
      </c>
      <c r="M49" s="6">
        <f t="shared" si="63"/>
        <v>1088.0297199999995</v>
      </c>
      <c r="N49" s="6">
        <f t="shared" si="63"/>
        <v>1116.1233599999996</v>
      </c>
      <c r="O49" s="6">
        <f t="shared" si="63"/>
        <v>1120.9439999999995</v>
      </c>
      <c r="P49" s="6">
        <f t="shared" si="63"/>
        <v>1123.8479999999995</v>
      </c>
      <c r="Q49" s="6">
        <f t="shared" si="63"/>
        <v>1126.7519999999995</v>
      </c>
      <c r="R49" s="6">
        <f t="shared" si="63"/>
        <v>1129.6559999999995</v>
      </c>
    </row>
    <row r="50" spans="1:19">
      <c r="B50" s="4" t="s">
        <v>5</v>
      </c>
      <c r="C50" s="6">
        <v>94</v>
      </c>
      <c r="D50" s="6">
        <v>93</v>
      </c>
      <c r="E50" s="6">
        <v>94.7</v>
      </c>
      <c r="F50" s="6">
        <v>95.2</v>
      </c>
      <c r="G50" s="6">
        <v>95.5</v>
      </c>
      <c r="H50" s="6">
        <v>95.9</v>
      </c>
      <c r="I50" s="6">
        <v>96.2</v>
      </c>
      <c r="J50" s="6">
        <v>96.4</v>
      </c>
      <c r="K50" s="6">
        <v>96.5</v>
      </c>
      <c r="L50" s="6">
        <v>96.6</v>
      </c>
      <c r="M50" s="6">
        <v>96.7</v>
      </c>
      <c r="N50" s="6">
        <v>96.8</v>
      </c>
      <c r="O50" s="6">
        <v>96.8</v>
      </c>
      <c r="P50" s="6">
        <v>96.8</v>
      </c>
      <c r="Q50" s="6">
        <v>96.8</v>
      </c>
      <c r="R50" s="6">
        <v>96.8</v>
      </c>
    </row>
    <row r="51" spans="1:19">
      <c r="B51" s="4" t="s">
        <v>6</v>
      </c>
      <c r="C51" s="6">
        <f>C55/C49*1000</f>
        <v>108.36754498681367</v>
      </c>
      <c r="D51" s="6">
        <f>D55/D49*1000</f>
        <v>115.70375266332977</v>
      </c>
      <c r="E51" s="6">
        <f>E55/E49*1000</f>
        <v>112.94826720241086</v>
      </c>
      <c r="F51" s="6">
        <f>+E51+0.55</f>
        <v>113.49826720241086</v>
      </c>
      <c r="G51" s="6">
        <f t="shared" ref="G51:R51" si="64">+F51+0.55</f>
        <v>114.04826720241086</v>
      </c>
      <c r="H51" s="6">
        <f t="shared" si="64"/>
        <v>114.59826720241085</v>
      </c>
      <c r="I51" s="6">
        <f t="shared" si="64"/>
        <v>115.14826720241085</v>
      </c>
      <c r="J51" s="6">
        <f t="shared" si="64"/>
        <v>115.69826720241085</v>
      </c>
      <c r="K51" s="6">
        <f t="shared" si="64"/>
        <v>116.24826720241084</v>
      </c>
      <c r="L51" s="6">
        <f t="shared" si="64"/>
        <v>116.79826720241084</v>
      </c>
      <c r="M51" s="6">
        <f t="shared" si="64"/>
        <v>117.34826720241084</v>
      </c>
      <c r="N51" s="6">
        <f t="shared" si="64"/>
        <v>117.89826720241084</v>
      </c>
      <c r="O51" s="6">
        <f t="shared" si="64"/>
        <v>118.44826720241083</v>
      </c>
      <c r="P51" s="6">
        <f t="shared" si="64"/>
        <v>118.99826720241083</v>
      </c>
      <c r="Q51" s="6">
        <f t="shared" si="64"/>
        <v>119.54826720241083</v>
      </c>
      <c r="R51" s="6">
        <f t="shared" si="64"/>
        <v>120.09826720241082</v>
      </c>
    </row>
    <row r="52" spans="1:19" ht="15.6">
      <c r="B52" s="4" t="s">
        <v>16</v>
      </c>
      <c r="C52" s="10">
        <f>+C54+C56</f>
        <v>23206.9</v>
      </c>
      <c r="D52" s="10">
        <f>+D54+D56</f>
        <v>23279.3</v>
      </c>
      <c r="E52" s="10">
        <f t="shared" ref="E52" si="65">+E54+E56</f>
        <v>22932.486187845305</v>
      </c>
      <c r="F52" s="10">
        <f>F53*365</f>
        <v>30590.711494204192</v>
      </c>
      <c r="G52" s="10">
        <f t="shared" ref="G52" si="66">G53*365</f>
        <v>33496.951040722532</v>
      </c>
      <c r="H52" s="10">
        <f t="shared" ref="H52" si="67">H53*365</f>
        <v>36621.315169044465</v>
      </c>
      <c r="I52" s="10">
        <f t="shared" ref="I52" si="68">I53*365</f>
        <v>39718.633239057453</v>
      </c>
      <c r="J52" s="10">
        <f t="shared" ref="J52" si="69">J53*365</f>
        <v>42122.602412755077</v>
      </c>
      <c r="K52" s="10">
        <f t="shared" ref="K52" si="70">K53*365</f>
        <v>44263.630192812831</v>
      </c>
      <c r="L52" s="10">
        <f t="shared" ref="L52" si="71">L53*365</f>
        <v>46178.235485717756</v>
      </c>
      <c r="M52" s="10">
        <f t="shared" ref="M52" si="72">M53*365</f>
        <v>47756.202324273094</v>
      </c>
      <c r="N52" s="10">
        <f t="shared" ref="N52" si="73">N53*365</f>
        <v>49347.82417908714</v>
      </c>
      <c r="O52" s="10">
        <f t="shared" ref="O52" si="74">O53*365</f>
        <v>49962.799649611559</v>
      </c>
      <c r="P52" s="10">
        <f t="shared" ref="P52" si="75">P53*365</f>
        <v>50496.462560915403</v>
      </c>
      <c r="Q52" s="10">
        <f t="shared" ref="Q52" si="76">Q53*365</f>
        <v>51031.291428219287</v>
      </c>
      <c r="R52" s="10">
        <f t="shared" ref="R52" si="77">R53*365</f>
        <v>51567.286251523146</v>
      </c>
    </row>
    <row r="53" spans="1:19" ht="15.6">
      <c r="B53" s="4" t="s">
        <v>17</v>
      </c>
      <c r="C53" s="22">
        <f t="shared" ref="C53:D53" si="78">C55+C57</f>
        <v>63.580547945205488</v>
      </c>
      <c r="D53" s="22">
        <f t="shared" si="78"/>
        <v>63.777223594580434</v>
      </c>
      <c r="E53" s="6">
        <f>E52/365</f>
        <v>62.828729281767956</v>
      </c>
      <c r="F53" s="6">
        <f>F55+F57+F58</f>
        <v>83.810168477271759</v>
      </c>
      <c r="G53" s="6">
        <f t="shared" ref="G53:R53" si="79">G55+G57+G58</f>
        <v>91.772468604719265</v>
      </c>
      <c r="H53" s="6">
        <f t="shared" si="79"/>
        <v>100.33237032614922</v>
      </c>
      <c r="I53" s="6">
        <f t="shared" si="79"/>
        <v>108.81817325769165</v>
      </c>
      <c r="J53" s="6">
        <f t="shared" si="79"/>
        <v>115.40439017193172</v>
      </c>
      <c r="K53" s="6">
        <f t="shared" si="79"/>
        <v>121.27021970633652</v>
      </c>
      <c r="L53" s="6">
        <f t="shared" si="79"/>
        <v>126.5157136595007</v>
      </c>
      <c r="M53" s="6">
        <f t="shared" si="79"/>
        <v>130.83891047746053</v>
      </c>
      <c r="N53" s="6">
        <f t="shared" si="79"/>
        <v>135.19951829886887</v>
      </c>
      <c r="O53" s="6">
        <f t="shared" si="79"/>
        <v>136.8843826016755</v>
      </c>
      <c r="P53" s="6">
        <f t="shared" si="79"/>
        <v>138.34647276963125</v>
      </c>
      <c r="Q53" s="6">
        <f t="shared" si="79"/>
        <v>139.8117573375871</v>
      </c>
      <c r="R53" s="6">
        <f t="shared" si="79"/>
        <v>141.28023630554287</v>
      </c>
    </row>
    <row r="54" spans="1:19" ht="15.6">
      <c r="B54" s="4" t="s">
        <v>18</v>
      </c>
      <c r="C54" s="22">
        <v>23014.980000000003</v>
      </c>
      <c r="D54" s="22">
        <v>23054.799999999999</v>
      </c>
      <c r="E54" s="6">
        <f>11244/181*365</f>
        <v>22674.364640883978</v>
      </c>
      <c r="F54" s="6">
        <f>F55*366</f>
        <v>30396.175672191963</v>
      </c>
      <c r="G54" s="6">
        <f t="shared" ref="G54:Q54" si="80">G55*365</f>
        <v>33128.11555840377</v>
      </c>
      <c r="H54" s="6">
        <f t="shared" si="80"/>
        <v>36142.979686725703</v>
      </c>
      <c r="I54" s="6">
        <f t="shared" si="80"/>
        <v>39167.297756738692</v>
      </c>
      <c r="J54" s="6">
        <f>J55*366</f>
        <v>41538.760812437511</v>
      </c>
      <c r="K54" s="6">
        <f t="shared" si="80"/>
        <v>43420.294710494069</v>
      </c>
      <c r="L54" s="6">
        <f t="shared" si="80"/>
        <v>45188.900003398994</v>
      </c>
      <c r="M54" s="6">
        <f t="shared" si="80"/>
        <v>46602.616841954332</v>
      </c>
      <c r="N54" s="6">
        <f>N55*366</f>
        <v>48161.577706896511</v>
      </c>
      <c r="O54" s="6">
        <f t="shared" si="80"/>
        <v>48462.46416729279</v>
      </c>
      <c r="P54" s="6">
        <f t="shared" si="80"/>
        <v>48813.627078596648</v>
      </c>
      <c r="Q54" s="6">
        <f t="shared" si="80"/>
        <v>49165.955945900525</v>
      </c>
      <c r="R54" s="6">
        <f>R55*366</f>
        <v>49655.120497339187</v>
      </c>
    </row>
    <row r="55" spans="1:19" ht="15.6">
      <c r="B55" s="4" t="s">
        <v>19</v>
      </c>
      <c r="C55" s="26">
        <f>C54/365</f>
        <v>63.054739726027407</v>
      </c>
      <c r="D55" s="26">
        <f>D54/365</f>
        <v>63.163835616438355</v>
      </c>
      <c r="E55" s="6">
        <f>E54/365</f>
        <v>62.121546961325969</v>
      </c>
      <c r="F55" s="6">
        <f t="shared" ref="F55:R55" si="81">F49*F51/1000</f>
        <v>83.049660306535415</v>
      </c>
      <c r="G55" s="6">
        <f t="shared" si="81"/>
        <v>90.761960433982921</v>
      </c>
      <c r="H55" s="6">
        <f t="shared" si="81"/>
        <v>99.021862155412876</v>
      </c>
      <c r="I55" s="6">
        <f t="shared" si="81"/>
        <v>107.30766508695531</v>
      </c>
      <c r="J55" s="6">
        <f t="shared" si="81"/>
        <v>113.49388200119539</v>
      </c>
      <c r="K55" s="6">
        <f t="shared" si="81"/>
        <v>118.95971153560018</v>
      </c>
      <c r="L55" s="6">
        <f t="shared" si="81"/>
        <v>123.80520548876437</v>
      </c>
      <c r="M55" s="6">
        <f t="shared" si="81"/>
        <v>127.67840230672419</v>
      </c>
      <c r="N55" s="6">
        <f t="shared" si="81"/>
        <v>131.58901012813254</v>
      </c>
      <c r="O55" s="6">
        <f t="shared" si="81"/>
        <v>132.77387443093914</v>
      </c>
      <c r="P55" s="6">
        <f t="shared" si="81"/>
        <v>133.73596459889492</v>
      </c>
      <c r="Q55" s="6">
        <f t="shared" si="81"/>
        <v>134.70124916685074</v>
      </c>
      <c r="R55" s="6">
        <f t="shared" si="81"/>
        <v>135.66972813480652</v>
      </c>
    </row>
    <row r="56" spans="1:19" ht="15.6">
      <c r="B56" s="4" t="s">
        <v>21</v>
      </c>
      <c r="C56" s="22">
        <v>191.92</v>
      </c>
      <c r="D56" s="26">
        <v>224.5</v>
      </c>
      <c r="E56" s="6">
        <f>128/181*365</f>
        <v>258.12154696132598</v>
      </c>
      <c r="F56" s="6">
        <f>F57*366</f>
        <v>278.34599048949963</v>
      </c>
      <c r="G56" s="6">
        <f t="shared" ref="G56:Q56" si="82">G57*365</f>
        <v>368.83548231876324</v>
      </c>
      <c r="H56" s="6">
        <f t="shared" si="82"/>
        <v>478.3354823187633</v>
      </c>
      <c r="I56" s="6">
        <f>I57*365</f>
        <v>551.3354823187633</v>
      </c>
      <c r="J56" s="6">
        <f>J57*366</f>
        <v>699.2459904894996</v>
      </c>
      <c r="K56" s="6">
        <f t="shared" si="82"/>
        <v>843.33548231876318</v>
      </c>
      <c r="L56" s="6">
        <f t="shared" si="82"/>
        <v>989.33548231876318</v>
      </c>
      <c r="M56" s="6">
        <f t="shared" si="82"/>
        <v>1153.5854823187633</v>
      </c>
      <c r="N56" s="6">
        <f>N57*366</f>
        <v>1321.4459904894995</v>
      </c>
      <c r="O56" s="6">
        <f t="shared" si="82"/>
        <v>1500.3354823187635</v>
      </c>
      <c r="P56" s="6">
        <f t="shared" si="82"/>
        <v>1682.8354823187635</v>
      </c>
      <c r="Q56" s="6">
        <f t="shared" si="82"/>
        <v>1865.3354823187635</v>
      </c>
      <c r="R56" s="6">
        <f>R57*366</f>
        <v>2053.4459904894998</v>
      </c>
    </row>
    <row r="57" spans="1:19" ht="15.6">
      <c r="B57" s="4" t="s">
        <v>22</v>
      </c>
      <c r="C57" s="25">
        <f>C56/365</f>
        <v>0.52580821917808218</v>
      </c>
      <c r="D57" s="25">
        <f>D56/366</f>
        <v>0.61338797814207646</v>
      </c>
      <c r="E57" s="7">
        <f>E56/365</f>
        <v>0.70718232044198892</v>
      </c>
      <c r="F57" s="7">
        <v>0.76050817073633781</v>
      </c>
      <c r="G57" s="7">
        <f>+F57+0.25</f>
        <v>1.0105081707363377</v>
      </c>
      <c r="H57" s="7">
        <f>+G57+0.3</f>
        <v>1.3105081707363377</v>
      </c>
      <c r="I57" s="7">
        <f>+H57+0.2</f>
        <v>1.5105081707363377</v>
      </c>
      <c r="J57" s="7">
        <f>+I57+0.4</f>
        <v>1.9105081707363376</v>
      </c>
      <c r="K57" s="7">
        <f t="shared" ref="K57:L57" si="83">+J57+0.4</f>
        <v>2.3105081707363375</v>
      </c>
      <c r="L57" s="7">
        <f t="shared" si="83"/>
        <v>2.7105081707363374</v>
      </c>
      <c r="M57" s="7">
        <f>+L57+0.45</f>
        <v>3.1605081707363376</v>
      </c>
      <c r="N57" s="7">
        <f t="shared" ref="N57" si="84">+M57+0.45</f>
        <v>3.6105081707363378</v>
      </c>
      <c r="O57" s="7">
        <f>+N57+0.5</f>
        <v>4.1105081707363382</v>
      </c>
      <c r="P57" s="7">
        <f t="shared" ref="P57:R57" si="85">+O57+0.5</f>
        <v>4.6105081707363382</v>
      </c>
      <c r="Q57" s="7">
        <f t="shared" si="85"/>
        <v>5.1105081707363382</v>
      </c>
      <c r="R57" s="7">
        <f t="shared" si="85"/>
        <v>5.6105081707363382</v>
      </c>
      <c r="S57" s="31"/>
    </row>
    <row r="58" spans="1:19">
      <c r="B58" s="11"/>
      <c r="C58" s="11"/>
      <c r="D58" s="12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5"/>
      <c r="R58" s="45"/>
    </row>
    <row r="60" spans="1:19" ht="15.6">
      <c r="A60" s="43">
        <v>5</v>
      </c>
      <c r="B60" s="56" t="s">
        <v>24</v>
      </c>
      <c r="C60" s="56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</row>
    <row r="61" spans="1:19">
      <c r="B61" s="2" t="s">
        <v>1</v>
      </c>
      <c r="C61" s="18">
        <v>2021</v>
      </c>
      <c r="D61" s="18">
        <v>2022</v>
      </c>
      <c r="E61" s="18" t="s">
        <v>2</v>
      </c>
      <c r="F61" s="18">
        <v>2024</v>
      </c>
      <c r="G61" s="18">
        <v>2025</v>
      </c>
      <c r="H61" s="18">
        <v>2026</v>
      </c>
      <c r="I61" s="18">
        <v>2027</v>
      </c>
      <c r="J61" s="18">
        <v>2028</v>
      </c>
      <c r="K61" s="18">
        <v>2029</v>
      </c>
      <c r="L61" s="18">
        <v>2030</v>
      </c>
      <c r="M61" s="18">
        <v>2031</v>
      </c>
      <c r="N61" s="18">
        <v>2032</v>
      </c>
      <c r="O61" s="19">
        <v>2033</v>
      </c>
      <c r="P61" s="19">
        <v>2034</v>
      </c>
      <c r="Q61" s="19">
        <v>2035</v>
      </c>
      <c r="R61" s="19">
        <v>2036</v>
      </c>
    </row>
    <row r="62" spans="1:19">
      <c r="B62" s="4" t="s">
        <v>3</v>
      </c>
      <c r="C62" s="4">
        <v>738</v>
      </c>
      <c r="D62" s="4">
        <v>830</v>
      </c>
      <c r="E62" s="6">
        <v>961.49</v>
      </c>
      <c r="F62" s="6">
        <v>1210.3499999999999</v>
      </c>
      <c r="G62" s="6">
        <v>1386.1299999999999</v>
      </c>
      <c r="H62" s="6">
        <v>1534.07</v>
      </c>
      <c r="I62" s="6">
        <v>1684.48</v>
      </c>
      <c r="J62" s="6">
        <v>1793.69</v>
      </c>
      <c r="K62" s="6">
        <v>1861.7</v>
      </c>
      <c r="L62" s="6">
        <v>1891.99</v>
      </c>
      <c r="M62" s="6">
        <v>1922.28</v>
      </c>
      <c r="N62" s="6">
        <v>1952.57</v>
      </c>
      <c r="O62" s="6">
        <v>1962</v>
      </c>
      <c r="P62" s="6">
        <v>1962</v>
      </c>
      <c r="Q62" s="6">
        <v>1962</v>
      </c>
      <c r="R62" s="6">
        <v>1962</v>
      </c>
    </row>
    <row r="63" spans="1:19">
      <c r="B63" s="4" t="s">
        <v>4</v>
      </c>
      <c r="C63" s="6">
        <f>C62*C64/100</f>
        <v>715.86</v>
      </c>
      <c r="D63" s="6">
        <f>D62*D64/100</f>
        <v>805.1</v>
      </c>
      <c r="E63" s="6">
        <f t="shared" ref="E63:R63" si="86">E62*E64/100</f>
        <v>932.64530000000002</v>
      </c>
      <c r="F63" s="6">
        <f t="shared" si="86"/>
        <v>1171.6188</v>
      </c>
      <c r="G63" s="6">
        <f t="shared" si="86"/>
        <v>1347.3183599999998</v>
      </c>
      <c r="H63" s="6">
        <f t="shared" si="86"/>
        <v>1495.7182499999999</v>
      </c>
      <c r="I63" s="6">
        <f t="shared" si="86"/>
        <v>1645.73696</v>
      </c>
      <c r="J63" s="6">
        <f t="shared" si="86"/>
        <v>1754.22882</v>
      </c>
      <c r="K63" s="6">
        <f t="shared" si="86"/>
        <v>1822.6043000000002</v>
      </c>
      <c r="L63" s="6">
        <f t="shared" si="86"/>
        <v>1854.1501999999998</v>
      </c>
      <c r="M63" s="6">
        <f t="shared" si="86"/>
        <v>1883.8344</v>
      </c>
      <c r="N63" s="6">
        <f t="shared" si="86"/>
        <v>1913.5185999999999</v>
      </c>
      <c r="O63" s="6">
        <f t="shared" si="86"/>
        <v>1922.76</v>
      </c>
      <c r="P63" s="6">
        <f t="shared" si="86"/>
        <v>1922.76</v>
      </c>
      <c r="Q63" s="6">
        <f t="shared" si="86"/>
        <v>1922.76</v>
      </c>
      <c r="R63" s="6">
        <f t="shared" si="86"/>
        <v>1922.76</v>
      </c>
    </row>
    <row r="64" spans="1:19">
      <c r="B64" s="4" t="s">
        <v>5</v>
      </c>
      <c r="C64" s="6">
        <v>97</v>
      </c>
      <c r="D64" s="6">
        <v>97</v>
      </c>
      <c r="E64" s="6">
        <v>97</v>
      </c>
      <c r="F64" s="6">
        <v>96.8</v>
      </c>
      <c r="G64" s="6">
        <v>97.2</v>
      </c>
      <c r="H64" s="6">
        <v>97.5</v>
      </c>
      <c r="I64" s="6">
        <v>97.7</v>
      </c>
      <c r="J64" s="6">
        <v>97.8</v>
      </c>
      <c r="K64" s="6">
        <v>97.9</v>
      </c>
      <c r="L64" s="6">
        <v>98</v>
      </c>
      <c r="M64" s="6">
        <v>98</v>
      </c>
      <c r="N64" s="6">
        <v>98</v>
      </c>
      <c r="O64" s="6">
        <v>98</v>
      </c>
      <c r="P64" s="6">
        <v>98</v>
      </c>
      <c r="Q64" s="6">
        <v>98</v>
      </c>
      <c r="R64" s="6">
        <v>98</v>
      </c>
    </row>
    <row r="65" spans="1:19">
      <c r="B65" s="4" t="s">
        <v>6</v>
      </c>
      <c r="C65" s="3">
        <f>C69/C63*1000</f>
        <v>140.84321989950584</v>
      </c>
      <c r="D65" s="3">
        <f>D69/D63*1000</f>
        <v>139.66814298572623</v>
      </c>
      <c r="E65" s="3">
        <f>E69/E63*1000</f>
        <v>131.43272206190025</v>
      </c>
      <c r="F65" s="3">
        <f t="shared" ref="F65:G65" si="87">+E65-0.66</f>
        <v>130.77272206190025</v>
      </c>
      <c r="G65" s="3">
        <f t="shared" si="87"/>
        <v>130.11272206190026</v>
      </c>
      <c r="H65" s="3">
        <v>130</v>
      </c>
      <c r="I65" s="3">
        <v>130</v>
      </c>
      <c r="J65" s="3">
        <v>130</v>
      </c>
      <c r="K65" s="3">
        <v>130</v>
      </c>
      <c r="L65" s="3">
        <v>130</v>
      </c>
      <c r="M65" s="3">
        <v>130</v>
      </c>
      <c r="N65" s="3">
        <v>130</v>
      </c>
      <c r="O65" s="3">
        <v>130</v>
      </c>
      <c r="P65" s="3">
        <v>130</v>
      </c>
      <c r="Q65" s="3">
        <v>130</v>
      </c>
      <c r="R65" s="3">
        <v>130</v>
      </c>
    </row>
    <row r="66" spans="1:19" ht="15.6">
      <c r="B66" s="4" t="s">
        <v>7</v>
      </c>
      <c r="C66" s="10">
        <f>+C68+C70</f>
        <v>45683.67</v>
      </c>
      <c r="D66" s="10">
        <f>+D68+D70</f>
        <v>50951.49</v>
      </c>
      <c r="E66" s="10">
        <f t="shared" ref="E66" si="88">+E68+E70</f>
        <v>54661.270718232045</v>
      </c>
      <c r="F66" s="10">
        <f>F67*365</f>
        <v>68033.28997537776</v>
      </c>
      <c r="G66" s="10">
        <f t="shared" ref="G66" si="89">G67*365</f>
        <v>78285.220032545301</v>
      </c>
      <c r="H66" s="10">
        <f t="shared" ref="H66" si="90">H67*365</f>
        <v>88191.361349240324</v>
      </c>
      <c r="I66" s="10">
        <f t="shared" ref="I66" si="91">I67*365</f>
        <v>98229.749138740328</v>
      </c>
      <c r="J66" s="10">
        <f t="shared" ref="J66" si="92">J67*365</f>
        <v>106297.68789574034</v>
      </c>
      <c r="K66" s="10">
        <f t="shared" ref="K66" si="93">K67*365</f>
        <v>112462.10442174034</v>
      </c>
      <c r="L66" s="10">
        <f t="shared" ref="L66" si="94">L67*365</f>
        <v>116878.95737674033</v>
      </c>
      <c r="M66" s="10">
        <f t="shared" ref="M66" si="95">M67*365</f>
        <v>121207.47266674033</v>
      </c>
      <c r="N66" s="10">
        <f t="shared" ref="N66" si="96">N67*365</f>
        <v>125535.98795674031</v>
      </c>
      <c r="O66" s="10">
        <f t="shared" ref="O66" si="97">O67*365</f>
        <v>128894.49238674033</v>
      </c>
      <c r="P66" s="10">
        <f t="shared" ref="P66" si="98">P67*365</f>
        <v>137954.962</v>
      </c>
      <c r="Q66" s="10">
        <f t="shared" ref="Q66" si="99">Q67*365</f>
        <v>147444.962</v>
      </c>
      <c r="R66" s="10">
        <f t="shared" ref="R66" si="100">R67*365</f>
        <v>156934.962</v>
      </c>
    </row>
    <row r="67" spans="1:19" ht="15.6">
      <c r="B67" s="4" t="s">
        <v>8</v>
      </c>
      <c r="C67" s="6">
        <f t="shared" ref="C67:D67" si="101">C69+C71</f>
        <v>125.16073972602739</v>
      </c>
      <c r="D67" s="6">
        <f t="shared" si="101"/>
        <v>139.59312328767123</v>
      </c>
      <c r="E67" s="6">
        <f>E66/365</f>
        <v>149.75690607734808</v>
      </c>
      <c r="F67" s="6">
        <f>F69+F71+F72</f>
        <v>186.39257527500757</v>
      </c>
      <c r="G67" s="6">
        <f t="shared" ref="G67:R67" si="102">G69+G71+G72</f>
        <v>214.48005488368574</v>
      </c>
      <c r="H67" s="6">
        <f t="shared" si="102"/>
        <v>241.62016808011049</v>
      </c>
      <c r="I67" s="6">
        <f t="shared" si="102"/>
        <v>269.1226003801105</v>
      </c>
      <c r="J67" s="6">
        <f t="shared" si="102"/>
        <v>291.22654218011053</v>
      </c>
      <c r="K67" s="6">
        <f t="shared" si="102"/>
        <v>308.11535458011053</v>
      </c>
      <c r="L67" s="6">
        <f t="shared" si="102"/>
        <v>320.2163215801105</v>
      </c>
      <c r="M67" s="6">
        <f t="shared" si="102"/>
        <v>332.07526758011051</v>
      </c>
      <c r="N67" s="6">
        <f t="shared" si="102"/>
        <v>343.93421358011045</v>
      </c>
      <c r="O67" s="6">
        <f t="shared" si="102"/>
        <v>353.13559558011048</v>
      </c>
      <c r="P67" s="6">
        <f t="shared" si="102"/>
        <v>377.9588</v>
      </c>
      <c r="Q67" s="6">
        <f t="shared" si="102"/>
        <v>403.9588</v>
      </c>
      <c r="R67" s="6">
        <f t="shared" si="102"/>
        <v>429.9588</v>
      </c>
    </row>
    <row r="68" spans="1:19" ht="15.6">
      <c r="B68" s="4" t="s">
        <v>9</v>
      </c>
      <c r="C68" s="6">
        <v>36800.769999999997</v>
      </c>
      <c r="D68" s="6">
        <v>41043.089999999997</v>
      </c>
      <c r="E68" s="6">
        <f>22187/181*365</f>
        <v>44741.74033149171</v>
      </c>
      <c r="F68" s="6">
        <f>F69*366</f>
        <v>56076.975368332336</v>
      </c>
      <c r="G68" s="6">
        <f t="shared" ref="G68:Q68" si="103">G69*365</f>
        <v>63985.68964580496</v>
      </c>
      <c r="H68" s="6">
        <f t="shared" si="103"/>
        <v>70971.830962499997</v>
      </c>
      <c r="I68" s="6">
        <f t="shared" si="103"/>
        <v>78090.218752000001</v>
      </c>
      <c r="J68" s="6">
        <f>J69*366</f>
        <v>83466.207255600006</v>
      </c>
      <c r="K68" s="6">
        <f t="shared" si="103"/>
        <v>86482.574035000012</v>
      </c>
      <c r="L68" s="6">
        <f t="shared" si="103"/>
        <v>87979.426989999993</v>
      </c>
      <c r="M68" s="6">
        <f t="shared" si="103"/>
        <v>89387.942280000003</v>
      </c>
      <c r="N68" s="6">
        <f>N69*366</f>
        <v>91045.214987999992</v>
      </c>
      <c r="O68" s="6">
        <f t="shared" si="103"/>
        <v>91234.962</v>
      </c>
      <c r="P68" s="6">
        <f t="shared" si="103"/>
        <v>91234.962</v>
      </c>
      <c r="Q68" s="6">
        <f t="shared" si="103"/>
        <v>91234.962</v>
      </c>
      <c r="R68" s="6">
        <f>R69*366</f>
        <v>91484.920799999993</v>
      </c>
    </row>
    <row r="69" spans="1:19" ht="15.6">
      <c r="B69" s="4" t="s">
        <v>10</v>
      </c>
      <c r="C69" s="13">
        <f t="shared" ref="C69:D69" si="104">C68/365</f>
        <v>100.82402739726027</v>
      </c>
      <c r="D69" s="13">
        <f t="shared" si="104"/>
        <v>112.44682191780821</v>
      </c>
      <c r="E69" s="6">
        <f>E68/365</f>
        <v>122.58011049723756</v>
      </c>
      <c r="F69" s="6">
        <f t="shared" ref="F69:R69" si="105">F63*F65/1000</f>
        <v>153.21577969489709</v>
      </c>
      <c r="G69" s="6">
        <f t="shared" si="105"/>
        <v>175.30325930357523</v>
      </c>
      <c r="H69" s="6">
        <f t="shared" si="105"/>
        <v>194.44337250000001</v>
      </c>
      <c r="I69" s="6">
        <f t="shared" si="105"/>
        <v>213.94580479999999</v>
      </c>
      <c r="J69" s="6">
        <f t="shared" si="105"/>
        <v>228.04974660000002</v>
      </c>
      <c r="K69" s="6">
        <f t="shared" si="105"/>
        <v>236.93855900000003</v>
      </c>
      <c r="L69" s="6">
        <f t="shared" si="105"/>
        <v>241.039526</v>
      </c>
      <c r="M69" s="6">
        <f t="shared" si="105"/>
        <v>244.898472</v>
      </c>
      <c r="N69" s="6">
        <f t="shared" si="105"/>
        <v>248.75741799999997</v>
      </c>
      <c r="O69" s="6">
        <f t="shared" si="105"/>
        <v>249.9588</v>
      </c>
      <c r="P69" s="6">
        <f t="shared" si="105"/>
        <v>249.9588</v>
      </c>
      <c r="Q69" s="6">
        <f t="shared" si="105"/>
        <v>249.9588</v>
      </c>
      <c r="R69" s="6">
        <f t="shared" si="105"/>
        <v>249.9588</v>
      </c>
    </row>
    <row r="70" spans="1:19" ht="15.6">
      <c r="B70" s="33" t="s">
        <v>25</v>
      </c>
      <c r="C70" s="35">
        <v>8882.9</v>
      </c>
      <c r="D70" s="13">
        <v>9908.4</v>
      </c>
      <c r="E70" s="6">
        <f>4919/181*365</f>
        <v>9919.5303867403309</v>
      </c>
      <c r="F70" s="6">
        <f>F71*366</f>
        <v>12142.707182320441</v>
      </c>
      <c r="G70" s="6">
        <f t="shared" ref="G70:Q70" si="106">G71*365</f>
        <v>14299.530386740331</v>
      </c>
      <c r="H70" s="6">
        <f t="shared" si="106"/>
        <v>17219.530386740331</v>
      </c>
      <c r="I70" s="6">
        <f t="shared" si="106"/>
        <v>20139.530386740331</v>
      </c>
      <c r="J70" s="6">
        <f>J71*366</f>
        <v>23122.707182320439</v>
      </c>
      <c r="K70" s="6">
        <f t="shared" si="106"/>
        <v>25979.530386740331</v>
      </c>
      <c r="L70" s="6">
        <f t="shared" si="106"/>
        <v>28899.530386740331</v>
      </c>
      <c r="M70" s="6">
        <f t="shared" si="106"/>
        <v>31819.530386740331</v>
      </c>
      <c r="N70" s="6">
        <f>N71*366</f>
        <v>34834.707182320439</v>
      </c>
      <c r="O70" s="6">
        <f t="shared" si="106"/>
        <v>37659.530386740327</v>
      </c>
      <c r="P70" s="6">
        <f t="shared" si="106"/>
        <v>39420</v>
      </c>
      <c r="Q70" s="6">
        <f t="shared" si="106"/>
        <v>48910</v>
      </c>
      <c r="R70" s="6">
        <f>R71*366</f>
        <v>58560</v>
      </c>
    </row>
    <row r="71" spans="1:19" ht="15.6">
      <c r="B71" s="33" t="s">
        <v>26</v>
      </c>
      <c r="C71" s="36">
        <f>C70/365</f>
        <v>24.336712328767121</v>
      </c>
      <c r="D71" s="22">
        <f>D70/365</f>
        <v>27.146301369863014</v>
      </c>
      <c r="E71" s="6">
        <f>E70/365</f>
        <v>27.176795580110497</v>
      </c>
      <c r="F71" s="6">
        <f>+E71+6</f>
        <v>33.176795580110493</v>
      </c>
      <c r="G71" s="6">
        <f t="shared" ref="G71" si="107">+F71+6</f>
        <v>39.176795580110493</v>
      </c>
      <c r="H71" s="6">
        <f>+G71+8</f>
        <v>47.176795580110493</v>
      </c>
      <c r="I71" s="6">
        <f t="shared" ref="I71:O71" si="108">+H71+8</f>
        <v>55.176795580110493</v>
      </c>
      <c r="J71" s="6">
        <f t="shared" si="108"/>
        <v>63.176795580110493</v>
      </c>
      <c r="K71" s="6">
        <f t="shared" si="108"/>
        <v>71.176795580110493</v>
      </c>
      <c r="L71" s="6">
        <f t="shared" si="108"/>
        <v>79.176795580110493</v>
      </c>
      <c r="M71" s="6">
        <f t="shared" si="108"/>
        <v>87.176795580110493</v>
      </c>
      <c r="N71" s="6">
        <f t="shared" si="108"/>
        <v>95.176795580110493</v>
      </c>
      <c r="O71" s="6">
        <f t="shared" si="108"/>
        <v>103.17679558011049</v>
      </c>
      <c r="P71" s="6">
        <v>108</v>
      </c>
      <c r="Q71" s="6">
        <v>134</v>
      </c>
      <c r="R71" s="6">
        <v>160</v>
      </c>
      <c r="S71" s="31"/>
    </row>
    <row r="72" spans="1:19" ht="28.9">
      <c r="B72" s="4" t="s">
        <v>13</v>
      </c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>
        <v>20</v>
      </c>
      <c r="Q72" s="6">
        <v>20</v>
      </c>
      <c r="R72" s="6">
        <v>20</v>
      </c>
      <c r="S72" s="31"/>
    </row>
    <row r="73" spans="1:19">
      <c r="B73" s="11"/>
      <c r="C73" s="28"/>
      <c r="D73" s="29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5"/>
      <c r="R73" s="45"/>
    </row>
    <row r="75" spans="1:19" ht="13.5" customHeight="1">
      <c r="A75" s="43">
        <v>6</v>
      </c>
      <c r="B75" s="56" t="s">
        <v>27</v>
      </c>
      <c r="C75" s="56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</row>
    <row r="76" spans="1:19">
      <c r="B76" s="2" t="s">
        <v>1</v>
      </c>
      <c r="C76" s="18">
        <v>2021</v>
      </c>
      <c r="D76" s="18">
        <v>2022</v>
      </c>
      <c r="E76" s="18" t="s">
        <v>2</v>
      </c>
      <c r="F76" s="18">
        <v>2024</v>
      </c>
      <c r="G76" s="18">
        <v>2025</v>
      </c>
      <c r="H76" s="18">
        <v>2026</v>
      </c>
      <c r="I76" s="18">
        <v>2027</v>
      </c>
      <c r="J76" s="18">
        <v>2028</v>
      </c>
      <c r="K76" s="18">
        <v>2029</v>
      </c>
      <c r="L76" s="18">
        <v>2030</v>
      </c>
      <c r="M76" s="18">
        <v>2031</v>
      </c>
      <c r="N76" s="18">
        <v>2032</v>
      </c>
      <c r="O76" s="19">
        <v>2033</v>
      </c>
      <c r="P76" s="19">
        <v>2034</v>
      </c>
      <c r="Q76" s="19">
        <v>2035</v>
      </c>
      <c r="R76" s="19">
        <v>2036</v>
      </c>
    </row>
    <row r="77" spans="1:19">
      <c r="B77" s="4" t="s">
        <v>3</v>
      </c>
      <c r="C77" s="4">
        <v>769</v>
      </c>
      <c r="D77" s="4">
        <v>764</v>
      </c>
      <c r="E77" s="6">
        <v>962.69999999999993</v>
      </c>
      <c r="F77" s="6">
        <v>1081.3399999999999</v>
      </c>
      <c r="G77" s="6">
        <v>1165.78</v>
      </c>
      <c r="H77" s="6">
        <v>1229.6399999999999</v>
      </c>
      <c r="I77" s="6">
        <v>1286.54</v>
      </c>
      <c r="J77" s="6">
        <v>1343.44</v>
      </c>
      <c r="K77" s="6">
        <v>1400.3400000000001</v>
      </c>
      <c r="L77" s="6">
        <v>1446.8</v>
      </c>
      <c r="M77" s="6">
        <v>1469.2</v>
      </c>
      <c r="N77" s="6">
        <v>1491.6000000000001</v>
      </c>
      <c r="O77" s="6">
        <v>1509.0000000000002</v>
      </c>
      <c r="P77" s="6">
        <v>1509.0000000000002</v>
      </c>
      <c r="Q77" s="6">
        <v>1509.0000000000002</v>
      </c>
      <c r="R77" s="6">
        <v>1509.0000000000002</v>
      </c>
    </row>
    <row r="78" spans="1:19">
      <c r="B78" s="4" t="s">
        <v>4</v>
      </c>
      <c r="C78" s="6">
        <f>C77*C79/100</f>
        <v>745.93</v>
      </c>
      <c r="D78" s="6">
        <f>D77*D79/100</f>
        <v>741.08</v>
      </c>
      <c r="E78" s="6">
        <v>805</v>
      </c>
      <c r="F78" s="6">
        <f t="shared" ref="F78:R78" si="109">F77*F79/100</f>
        <v>1058.63186</v>
      </c>
      <c r="G78" s="6">
        <f t="shared" si="109"/>
        <v>1142.4644000000001</v>
      </c>
      <c r="H78" s="6">
        <f t="shared" si="109"/>
        <v>1206.2768399999998</v>
      </c>
      <c r="I78" s="6">
        <f t="shared" si="109"/>
        <v>1263.38228</v>
      </c>
      <c r="J78" s="6">
        <f t="shared" si="109"/>
        <v>1320.6015199999999</v>
      </c>
      <c r="K78" s="6">
        <f t="shared" si="109"/>
        <v>1377.9345600000004</v>
      </c>
      <c r="L78" s="6">
        <f t="shared" si="109"/>
        <v>1423.6512</v>
      </c>
      <c r="M78" s="6">
        <f t="shared" si="109"/>
        <v>1445.6928</v>
      </c>
      <c r="N78" s="6">
        <f t="shared" si="109"/>
        <v>1469.2260000000001</v>
      </c>
      <c r="O78" s="6">
        <f t="shared" si="109"/>
        <v>1486.3650000000002</v>
      </c>
      <c r="P78" s="6">
        <f t="shared" si="109"/>
        <v>1486.3650000000002</v>
      </c>
      <c r="Q78" s="6">
        <f t="shared" si="109"/>
        <v>1486.3650000000002</v>
      </c>
      <c r="R78" s="6">
        <f t="shared" si="109"/>
        <v>1486.3650000000002</v>
      </c>
    </row>
    <row r="79" spans="1:19">
      <c r="B79" s="4" t="s">
        <v>5</v>
      </c>
      <c r="C79" s="6">
        <v>97</v>
      </c>
      <c r="D79" s="6">
        <v>97</v>
      </c>
      <c r="E79" s="6">
        <v>97.6</v>
      </c>
      <c r="F79" s="6">
        <v>97.9</v>
      </c>
      <c r="G79" s="6">
        <v>98</v>
      </c>
      <c r="H79" s="6">
        <v>98.1</v>
      </c>
      <c r="I79" s="6">
        <v>98.2</v>
      </c>
      <c r="J79" s="6">
        <v>98.3</v>
      </c>
      <c r="K79" s="6">
        <v>98.4</v>
      </c>
      <c r="L79" s="6">
        <v>98.4</v>
      </c>
      <c r="M79" s="6">
        <v>98.4</v>
      </c>
      <c r="N79" s="6">
        <v>98.5</v>
      </c>
      <c r="O79" s="6">
        <v>98.5</v>
      </c>
      <c r="P79" s="6">
        <v>98.5</v>
      </c>
      <c r="Q79" s="6">
        <v>98.5</v>
      </c>
      <c r="R79" s="6">
        <v>98.5</v>
      </c>
    </row>
    <row r="80" spans="1:19">
      <c r="B80" s="4" t="s">
        <v>6</v>
      </c>
      <c r="C80" s="3">
        <f>C84/C78*1000</f>
        <v>152.67968330055578</v>
      </c>
      <c r="D80" s="3">
        <f>D84/D78*1000</f>
        <v>162.4608347409673</v>
      </c>
      <c r="E80" s="3">
        <f>E84/E78*1000</f>
        <v>159.23955938368618</v>
      </c>
      <c r="F80" s="3">
        <f t="shared" ref="F80:Q80" si="110">+E80-2.3</f>
        <v>156.93955938368617</v>
      </c>
      <c r="G80" s="3">
        <f t="shared" si="110"/>
        <v>154.63955938368616</v>
      </c>
      <c r="H80" s="3">
        <f t="shared" si="110"/>
        <v>152.33955938368615</v>
      </c>
      <c r="I80" s="3">
        <f t="shared" si="110"/>
        <v>150.03955938368614</v>
      </c>
      <c r="J80" s="3">
        <f t="shared" si="110"/>
        <v>147.73955938368613</v>
      </c>
      <c r="K80" s="3">
        <f t="shared" si="110"/>
        <v>145.43955938368612</v>
      </c>
      <c r="L80" s="3">
        <f t="shared" si="110"/>
        <v>143.13955938368611</v>
      </c>
      <c r="M80" s="3">
        <f t="shared" si="110"/>
        <v>140.83955938368609</v>
      </c>
      <c r="N80" s="3">
        <f t="shared" si="110"/>
        <v>138.53955938368608</v>
      </c>
      <c r="O80" s="3">
        <f t="shared" si="110"/>
        <v>136.23955938368607</v>
      </c>
      <c r="P80" s="3">
        <f t="shared" si="110"/>
        <v>133.93955938368606</v>
      </c>
      <c r="Q80" s="3">
        <f t="shared" si="110"/>
        <v>131.63955938368605</v>
      </c>
      <c r="R80" s="3">
        <v>130</v>
      </c>
    </row>
    <row r="81" spans="1:19" ht="15.6">
      <c r="B81" s="4" t="s">
        <v>7</v>
      </c>
      <c r="C81" s="10">
        <f>+C83+C85</f>
        <v>41569.25</v>
      </c>
      <c r="D81" s="10">
        <f>+D83+D85</f>
        <v>44065.11</v>
      </c>
      <c r="E81" s="10">
        <f t="shared" ref="E81" si="111">+E83+E85</f>
        <v>46788.563535911599</v>
      </c>
      <c r="F81" s="10">
        <f>F82*365</f>
        <v>60641.544445145235</v>
      </c>
      <c r="G81" s="10">
        <f t="shared" ref="G81" si="112">G82*365</f>
        <v>64484.619871054798</v>
      </c>
      <c r="H81" s="10">
        <f t="shared" ref="H81" si="113">H82*365</f>
        <v>67073.744039626006</v>
      </c>
      <c r="I81" s="10">
        <f t="shared" ref="I81" si="114">I82*365</f>
        <v>69188.422027890236</v>
      </c>
      <c r="J81" s="10">
        <f t="shared" ref="J81" si="115">J82*365</f>
        <v>71578.356640472557</v>
      </c>
      <c r="K81" s="10">
        <f t="shared" ref="K81" si="116">K82*365</f>
        <v>73878.26127207301</v>
      </c>
      <c r="L81" s="10">
        <f t="shared" ref="L81" si="117">L82*365</f>
        <v>75474.994001680432</v>
      </c>
      <c r="M81" s="10">
        <f t="shared" ref="M81" si="118">M82*365</f>
        <v>75777.918989001118</v>
      </c>
      <c r="N81" s="10">
        <f t="shared" ref="N81" si="119">N82*365</f>
        <v>76119.261776395302</v>
      </c>
      <c r="O81" s="10">
        <f t="shared" ref="O81" si="120">O82*365</f>
        <v>76103.125129416396</v>
      </c>
      <c r="P81" s="10">
        <f t="shared" ref="P81" si="121">P82*365</f>
        <v>75220.321711916389</v>
      </c>
      <c r="Q81" s="10">
        <f t="shared" ref="Q81" si="122">Q82*365</f>
        <v>74337.518294416383</v>
      </c>
      <c r="R81" s="10">
        <f t="shared" ref="R81" si="123">R82*365</f>
        <v>73813.019250000012</v>
      </c>
    </row>
    <row r="82" spans="1:19" ht="15.6">
      <c r="B82" s="4" t="s">
        <v>8</v>
      </c>
      <c r="C82" s="6">
        <f t="shared" ref="C82:D82" si="124">C84+C86</f>
        <v>113.88835616438357</v>
      </c>
      <c r="D82" s="6">
        <f t="shared" si="124"/>
        <v>120.39647540983607</v>
      </c>
      <c r="E82" s="6">
        <f>E81/365</f>
        <v>128.18784530386739</v>
      </c>
      <c r="F82" s="6">
        <f>F84+F86+F87</f>
        <v>166.14121765793215</v>
      </c>
      <c r="G82" s="6">
        <f t="shared" ref="G82:R82" si="125">G84+G86+G87</f>
        <v>176.67019142754739</v>
      </c>
      <c r="H82" s="6">
        <f t="shared" si="125"/>
        <v>183.76368230034524</v>
      </c>
      <c r="I82" s="6">
        <f t="shared" si="125"/>
        <v>189.55732062435681</v>
      </c>
      <c r="J82" s="6">
        <f t="shared" si="125"/>
        <v>196.10508668622617</v>
      </c>
      <c r="K82" s="6">
        <f t="shared" si="125"/>
        <v>202.40619526595347</v>
      </c>
      <c r="L82" s="6">
        <f t="shared" si="125"/>
        <v>206.78080548405597</v>
      </c>
      <c r="M82" s="6">
        <f t="shared" si="125"/>
        <v>207.61073695616744</v>
      </c>
      <c r="N82" s="6">
        <f t="shared" si="125"/>
        <v>208.54592267505561</v>
      </c>
      <c r="O82" s="6">
        <f t="shared" si="125"/>
        <v>208.50171268333258</v>
      </c>
      <c r="P82" s="6">
        <f t="shared" si="125"/>
        <v>206.08307318333257</v>
      </c>
      <c r="Q82" s="6">
        <f t="shared" si="125"/>
        <v>203.66443368333256</v>
      </c>
      <c r="R82" s="6">
        <f t="shared" si="125"/>
        <v>202.22745000000003</v>
      </c>
    </row>
    <row r="83" spans="1:19" ht="15.6">
      <c r="B83" s="4" t="s">
        <v>9</v>
      </c>
      <c r="C83" s="6">
        <v>41569.25</v>
      </c>
      <c r="D83" s="6">
        <v>44065.11</v>
      </c>
      <c r="E83" s="6">
        <f>23202/181*365</f>
        <v>46788.563535911599</v>
      </c>
      <c r="F83" s="6">
        <f>F84*366</f>
        <v>60807.685662803167</v>
      </c>
      <c r="G83" s="6">
        <f t="shared" ref="G83:Q83" si="126">G84*365</f>
        <v>64484.619871054798</v>
      </c>
      <c r="H83" s="6">
        <f t="shared" si="126"/>
        <v>67073.744039626006</v>
      </c>
      <c r="I83" s="6">
        <f t="shared" si="126"/>
        <v>69188.422027890236</v>
      </c>
      <c r="J83" s="6">
        <f>J84*366</f>
        <v>71408.461727158778</v>
      </c>
      <c r="K83" s="6">
        <f t="shared" si="126"/>
        <v>73148.26127207301</v>
      </c>
      <c r="L83" s="6">
        <f t="shared" si="126"/>
        <v>74379.994001680432</v>
      </c>
      <c r="M83" s="6">
        <f t="shared" si="126"/>
        <v>74317.918989001118</v>
      </c>
      <c r="N83" s="6">
        <f>N84*366</f>
        <v>74497.807699070356</v>
      </c>
      <c r="O83" s="6">
        <f t="shared" si="126"/>
        <v>73913.125129416396</v>
      </c>
      <c r="P83" s="6">
        <f t="shared" si="126"/>
        <v>72665.321711916389</v>
      </c>
      <c r="Q83" s="6">
        <f t="shared" si="126"/>
        <v>71417.518294416383</v>
      </c>
      <c r="R83" s="6">
        <f>R84*366</f>
        <v>70721.246700000018</v>
      </c>
    </row>
    <row r="84" spans="1:19" ht="15.6">
      <c r="B84" s="4" t="s">
        <v>10</v>
      </c>
      <c r="C84" s="13">
        <f>C83/365</f>
        <v>113.88835616438357</v>
      </c>
      <c r="D84" s="13">
        <f>D83/366</f>
        <v>120.39647540983607</v>
      </c>
      <c r="E84" s="6">
        <f>E83/365</f>
        <v>128.18784530386739</v>
      </c>
      <c r="F84" s="6">
        <f t="shared" ref="F84:R84" si="127">F78*F80/1000</f>
        <v>166.14121765793215</v>
      </c>
      <c r="G84" s="6">
        <f t="shared" si="127"/>
        <v>176.67019142754739</v>
      </c>
      <c r="H84" s="6">
        <f t="shared" si="127"/>
        <v>183.76368230034524</v>
      </c>
      <c r="I84" s="6">
        <f t="shared" si="127"/>
        <v>189.55732062435681</v>
      </c>
      <c r="J84" s="6">
        <f t="shared" si="127"/>
        <v>195.10508668622617</v>
      </c>
      <c r="K84" s="6">
        <f t="shared" si="127"/>
        <v>200.40619526595347</v>
      </c>
      <c r="L84" s="6">
        <f t="shared" si="127"/>
        <v>203.78080548405597</v>
      </c>
      <c r="M84" s="6">
        <f t="shared" si="127"/>
        <v>203.61073695616744</v>
      </c>
      <c r="N84" s="6">
        <f t="shared" si="127"/>
        <v>203.54592267505561</v>
      </c>
      <c r="O84" s="6">
        <f t="shared" si="127"/>
        <v>202.50171268333258</v>
      </c>
      <c r="P84" s="6">
        <f t="shared" si="127"/>
        <v>199.08307318333257</v>
      </c>
      <c r="Q84" s="6">
        <f t="shared" si="127"/>
        <v>195.66443368333256</v>
      </c>
      <c r="R84" s="6">
        <f t="shared" si="127"/>
        <v>193.22745000000003</v>
      </c>
    </row>
    <row r="85" spans="1:19" ht="15.6">
      <c r="B85" s="4" t="s">
        <v>11</v>
      </c>
      <c r="C85" s="16">
        <v>0</v>
      </c>
      <c r="D85" s="16">
        <v>0</v>
      </c>
      <c r="E85" s="6">
        <v>0</v>
      </c>
      <c r="F85" s="6">
        <f>F86*366</f>
        <v>0</v>
      </c>
      <c r="G85" s="6">
        <f t="shared" ref="G85:Q85" si="128">G86*365</f>
        <v>0</v>
      </c>
      <c r="H85" s="6">
        <f t="shared" si="128"/>
        <v>0</v>
      </c>
      <c r="I85" s="6">
        <f t="shared" si="128"/>
        <v>0</v>
      </c>
      <c r="J85" s="6">
        <f>J86*366</f>
        <v>366</v>
      </c>
      <c r="K85" s="6">
        <f t="shared" si="128"/>
        <v>730</v>
      </c>
      <c r="L85" s="6">
        <f t="shared" si="128"/>
        <v>1095</v>
      </c>
      <c r="M85" s="6">
        <f t="shared" si="128"/>
        <v>1460</v>
      </c>
      <c r="N85" s="6">
        <f>N86*366</f>
        <v>1830</v>
      </c>
      <c r="O85" s="6">
        <f t="shared" si="128"/>
        <v>2190</v>
      </c>
      <c r="P85" s="6">
        <f t="shared" si="128"/>
        <v>2555</v>
      </c>
      <c r="Q85" s="6">
        <f t="shared" si="128"/>
        <v>2920</v>
      </c>
      <c r="R85" s="6">
        <f>R86*366</f>
        <v>3294</v>
      </c>
    </row>
    <row r="86" spans="1:19" ht="15.6">
      <c r="B86" s="4" t="s">
        <v>12</v>
      </c>
      <c r="C86" s="34">
        <f>C85/365</f>
        <v>0</v>
      </c>
      <c r="D86" s="25">
        <f>D85/366</f>
        <v>0</v>
      </c>
      <c r="E86" s="25">
        <f>E85/366</f>
        <v>0</v>
      </c>
      <c r="F86" s="7">
        <f t="shared" ref="F86" si="129">E86*F87</f>
        <v>0</v>
      </c>
      <c r="G86" s="7">
        <f t="shared" ref="G86" si="130">F86*G87</f>
        <v>0</v>
      </c>
      <c r="H86" s="7">
        <f t="shared" ref="H86" si="131">G86*H87</f>
        <v>0</v>
      </c>
      <c r="I86" s="7">
        <f t="shared" ref="I86" si="132">H86*I87</f>
        <v>0</v>
      </c>
      <c r="J86" s="7">
        <v>1</v>
      </c>
      <c r="K86" s="7">
        <v>2</v>
      </c>
      <c r="L86" s="7">
        <v>3</v>
      </c>
      <c r="M86" s="7">
        <v>4</v>
      </c>
      <c r="N86" s="7">
        <v>5</v>
      </c>
      <c r="O86" s="7">
        <v>6</v>
      </c>
      <c r="P86" s="7">
        <v>7</v>
      </c>
      <c r="Q86" s="7">
        <v>8</v>
      </c>
      <c r="R86" s="7">
        <v>9</v>
      </c>
      <c r="S86" s="31"/>
    </row>
    <row r="87" spans="1:19">
      <c r="B87" s="15"/>
      <c r="C87" s="15"/>
      <c r="D87" s="1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5"/>
      <c r="R87" s="45"/>
    </row>
    <row r="89" spans="1:19" ht="15.6">
      <c r="A89" s="43">
        <v>7</v>
      </c>
      <c r="B89" s="54" t="s">
        <v>28</v>
      </c>
      <c r="C89" s="54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24"/>
      <c r="R89" s="24"/>
    </row>
    <row r="90" spans="1:19">
      <c r="B90" s="4" t="s">
        <v>1</v>
      </c>
      <c r="C90" s="18">
        <v>2021</v>
      </c>
      <c r="D90" s="18">
        <v>2022</v>
      </c>
      <c r="E90" s="18" t="s">
        <v>2</v>
      </c>
      <c r="F90" s="18">
        <v>2024</v>
      </c>
      <c r="G90" s="18">
        <v>2025</v>
      </c>
      <c r="H90" s="18">
        <v>2026</v>
      </c>
      <c r="I90" s="18">
        <v>2027</v>
      </c>
      <c r="J90" s="18">
        <v>2028</v>
      </c>
      <c r="K90" s="18">
        <v>2029</v>
      </c>
      <c r="L90" s="18">
        <v>2030</v>
      </c>
      <c r="M90" s="18">
        <v>2031</v>
      </c>
      <c r="N90" s="18">
        <v>2032</v>
      </c>
      <c r="O90" s="19">
        <v>2033</v>
      </c>
      <c r="P90" s="19">
        <v>2034</v>
      </c>
      <c r="Q90" s="19">
        <v>2035</v>
      </c>
      <c r="R90" s="19">
        <v>2036</v>
      </c>
    </row>
    <row r="91" spans="1:19">
      <c r="B91" s="4" t="s">
        <v>3</v>
      </c>
      <c r="C91" s="4">
        <v>334</v>
      </c>
      <c r="D91" s="4">
        <v>310</v>
      </c>
      <c r="E91" s="6">
        <v>342.92399999999998</v>
      </c>
      <c r="F91" s="6">
        <v>348.84799999999996</v>
      </c>
      <c r="G91" s="6">
        <v>357.79999999999995</v>
      </c>
      <c r="H91" s="6">
        <v>362.79999999999995</v>
      </c>
      <c r="I91" s="6">
        <v>367.79999999999995</v>
      </c>
      <c r="J91" s="6">
        <v>372.79999999999995</v>
      </c>
      <c r="K91" s="6">
        <v>377.79999999999995</v>
      </c>
      <c r="L91" s="6">
        <v>382.79999999999995</v>
      </c>
      <c r="M91" s="6">
        <v>387.79999999999995</v>
      </c>
      <c r="N91" s="6">
        <v>392.79999999999995</v>
      </c>
      <c r="O91" s="6">
        <v>392.79999999999995</v>
      </c>
      <c r="P91" s="6">
        <v>392.79999999999995</v>
      </c>
      <c r="Q91" s="6">
        <v>392.79999999999995</v>
      </c>
      <c r="R91" s="6">
        <v>392.79999999999995</v>
      </c>
    </row>
    <row r="92" spans="1:19">
      <c r="B92" s="4" t="s">
        <v>4</v>
      </c>
      <c r="C92" s="6">
        <f>C91*C93/100</f>
        <v>307.27999999999997</v>
      </c>
      <c r="D92" s="6">
        <f>D91*D93/100</f>
        <v>282.10000000000002</v>
      </c>
      <c r="E92" s="6">
        <v>288</v>
      </c>
      <c r="F92" s="6">
        <f t="shared" ref="F92" si="133">F91*F93/100</f>
        <v>321.98670399999997</v>
      </c>
      <c r="G92" s="6">
        <f t="shared" ref="G92" si="134">G91*G93/100</f>
        <v>330.96499999999992</v>
      </c>
      <c r="H92" s="6">
        <f t="shared" ref="H92" si="135">H91*H93/100</f>
        <v>335.95279999999991</v>
      </c>
      <c r="I92" s="6">
        <f t="shared" ref="I92" si="136">I91*I93/100</f>
        <v>364.12199999999996</v>
      </c>
      <c r="J92" s="6">
        <f t="shared" ref="J92" si="137">J91*J93/100</f>
        <v>369.07199999999995</v>
      </c>
      <c r="K92" s="6">
        <f t="shared" ref="K92" si="138">K91*K93/100</f>
        <v>374.02199999999999</v>
      </c>
      <c r="L92" s="6">
        <f t="shared" ref="L92" si="139">L91*L93/100</f>
        <v>378.97199999999998</v>
      </c>
      <c r="M92" s="6">
        <f t="shared" ref="M92" si="140">M91*M93/100</f>
        <v>383.92199999999997</v>
      </c>
      <c r="N92" s="6">
        <f t="shared" ref="N92" si="141">N91*N93/100</f>
        <v>388.87199999999996</v>
      </c>
      <c r="O92" s="6">
        <f t="shared" ref="O92" si="142">O91*O93/100</f>
        <v>388.87199999999996</v>
      </c>
      <c r="P92" s="6">
        <f t="shared" ref="P92" si="143">P91*P93/100</f>
        <v>388.87199999999996</v>
      </c>
      <c r="Q92" s="6">
        <f t="shared" ref="Q92" si="144">Q91*Q93/100</f>
        <v>388.87199999999996</v>
      </c>
      <c r="R92" s="6">
        <f t="shared" ref="R92" si="145">R91*R93/100</f>
        <v>388.87199999999996</v>
      </c>
    </row>
    <row r="93" spans="1:19">
      <c r="B93" s="4" t="s">
        <v>5</v>
      </c>
      <c r="C93" s="6">
        <v>92</v>
      </c>
      <c r="D93" s="6">
        <v>91</v>
      </c>
      <c r="E93" s="6">
        <v>92.2</v>
      </c>
      <c r="F93" s="6">
        <v>92.3</v>
      </c>
      <c r="G93" s="6">
        <v>92.5</v>
      </c>
      <c r="H93" s="6">
        <v>92.6</v>
      </c>
      <c r="I93" s="6">
        <v>99</v>
      </c>
      <c r="J93" s="6">
        <v>99</v>
      </c>
      <c r="K93" s="6">
        <v>99</v>
      </c>
      <c r="L93" s="6">
        <v>99</v>
      </c>
      <c r="M93" s="6">
        <v>99</v>
      </c>
      <c r="N93" s="6">
        <v>99</v>
      </c>
      <c r="O93" s="6">
        <v>99</v>
      </c>
      <c r="P93" s="6">
        <v>99</v>
      </c>
      <c r="Q93" s="6">
        <v>99</v>
      </c>
      <c r="R93" s="6">
        <v>99</v>
      </c>
    </row>
    <row r="94" spans="1:19">
      <c r="B94" s="4" t="s">
        <v>29</v>
      </c>
      <c r="C94" s="3">
        <f>C98/C92*1000</f>
        <v>91.694157842742158</v>
      </c>
      <c r="D94" s="3">
        <f>D98/D92*1000</f>
        <v>89.844172619249946</v>
      </c>
      <c r="E94" s="3">
        <f>E98/E92*1000</f>
        <v>88.685543278084708</v>
      </c>
      <c r="F94" s="3">
        <f>+E94+2.5</f>
        <v>91.185543278084708</v>
      </c>
      <c r="G94" s="3">
        <f t="shared" ref="G94:Q94" si="146">+F94+2.5</f>
        <v>93.685543278084708</v>
      </c>
      <c r="H94" s="3">
        <f t="shared" si="146"/>
        <v>96.185543278084708</v>
      </c>
      <c r="I94" s="3">
        <f t="shared" si="146"/>
        <v>98.685543278084708</v>
      </c>
      <c r="J94" s="3">
        <f t="shared" si="146"/>
        <v>101.18554327808471</v>
      </c>
      <c r="K94" s="3">
        <f t="shared" si="146"/>
        <v>103.68554327808471</v>
      </c>
      <c r="L94" s="3">
        <f t="shared" si="146"/>
        <v>106.18554327808471</v>
      </c>
      <c r="M94" s="3">
        <f t="shared" si="146"/>
        <v>108.68554327808471</v>
      </c>
      <c r="N94" s="3">
        <f t="shared" si="146"/>
        <v>111.18554327808471</v>
      </c>
      <c r="O94" s="3">
        <f t="shared" si="146"/>
        <v>113.68554327808471</v>
      </c>
      <c r="P94" s="3">
        <f t="shared" si="146"/>
        <v>116.18554327808471</v>
      </c>
      <c r="Q94" s="3">
        <f t="shared" si="146"/>
        <v>118.68554327808471</v>
      </c>
      <c r="R94" s="3">
        <v>120</v>
      </c>
    </row>
    <row r="95" spans="1:19" ht="15.6">
      <c r="B95" s="4" t="s">
        <v>16</v>
      </c>
      <c r="C95" s="10">
        <f>+C97+C99</f>
        <v>25934.16</v>
      </c>
      <c r="D95" s="10">
        <f>+D97+D99</f>
        <v>22510.720000000001</v>
      </c>
      <c r="E95" s="10">
        <f t="shared" ref="E95" si="147">+E97+E99</f>
        <v>23741.132596685085</v>
      </c>
      <c r="F95" s="10">
        <f>F96*365</f>
        <v>25316.594374384349</v>
      </c>
      <c r="G95" s="10">
        <f t="shared" ref="G95" si="148">G96*365</f>
        <v>25917.422078326425</v>
      </c>
      <c r="H95" s="10">
        <f t="shared" ref="H95" si="149">H96*365</f>
        <v>26394.537943084713</v>
      </c>
      <c r="I95" s="10">
        <f t="shared" ref="I95" si="150">I96*365</f>
        <v>27715.755747168503</v>
      </c>
      <c r="J95" s="10">
        <f t="shared" ref="J95" si="151">J96*365</f>
        <v>28230.834052486185</v>
      </c>
      <c r="K95" s="10">
        <f t="shared" ref="K95" si="152">K96*365</f>
        <v>28754.946107803869</v>
      </c>
      <c r="L95" s="10">
        <f t="shared" ref="L95" si="153">L96*365</f>
        <v>29288.091913121545</v>
      </c>
      <c r="M95" s="10">
        <f t="shared" ref="M95" si="154">M96*365</f>
        <v>29830.271468439227</v>
      </c>
      <c r="N95" s="10">
        <f t="shared" ref="N95" si="155">N96*365</f>
        <v>30381.4847737569</v>
      </c>
      <c r="O95" s="10">
        <f t="shared" ref="O95" si="156">O96*365</f>
        <v>30736.330473756901</v>
      </c>
      <c r="P95" s="10">
        <f t="shared" ref="P95" si="157">P96*365</f>
        <v>100441.1761737569</v>
      </c>
      <c r="Q95" s="10">
        <f t="shared" ref="Q95" si="158">Q96*365</f>
        <v>170146.02187375689</v>
      </c>
      <c r="R95" s="10">
        <f t="shared" ref="R95" si="159">R96*365</f>
        <v>236032.59359999999</v>
      </c>
    </row>
    <row r="96" spans="1:19" ht="15.6">
      <c r="B96" s="4" t="s">
        <v>17</v>
      </c>
      <c r="C96" s="6">
        <f t="shared" ref="C96:D96" si="160">C98+C100</f>
        <v>71.052493150684938</v>
      </c>
      <c r="D96" s="6">
        <f t="shared" si="160"/>
        <v>61.673205479452051</v>
      </c>
      <c r="E96" s="6">
        <f>E95/365</f>
        <v>65.044198895027634</v>
      </c>
      <c r="F96" s="6">
        <f>F98+F100+F101</f>
        <v>69.360532532559859</v>
      </c>
      <c r="G96" s="6">
        <f t="shared" ref="G96:R96" si="161">G98+G100+G101</f>
        <v>71.006635831031303</v>
      </c>
      <c r="H96" s="6">
        <f t="shared" si="161"/>
        <v>72.313802583793731</v>
      </c>
      <c r="I96" s="6">
        <f t="shared" si="161"/>
        <v>75.933577389502744</v>
      </c>
      <c r="J96" s="6">
        <f t="shared" si="161"/>
        <v>77.344750828729275</v>
      </c>
      <c r="K96" s="6">
        <f t="shared" si="161"/>
        <v>78.780674267955803</v>
      </c>
      <c r="L96" s="6">
        <f t="shared" si="161"/>
        <v>80.241347707182314</v>
      </c>
      <c r="M96" s="6">
        <f t="shared" si="161"/>
        <v>81.726771146408836</v>
      </c>
      <c r="N96" s="6">
        <f t="shared" si="161"/>
        <v>83.236944585635342</v>
      </c>
      <c r="O96" s="6">
        <f t="shared" si="161"/>
        <v>84.209124585635351</v>
      </c>
      <c r="P96" s="6">
        <f t="shared" si="161"/>
        <v>275.18130458563536</v>
      </c>
      <c r="Q96" s="6">
        <f t="shared" si="161"/>
        <v>466.15348458563534</v>
      </c>
      <c r="R96" s="6">
        <f t="shared" si="161"/>
        <v>646.66463999999996</v>
      </c>
    </row>
    <row r="97" spans="1:19" ht="15.6">
      <c r="B97" s="4" t="s">
        <v>18</v>
      </c>
      <c r="C97" s="6">
        <v>10284.16</v>
      </c>
      <c r="D97" s="6">
        <v>9250.94</v>
      </c>
      <c r="E97" s="6">
        <f>4623/181*365</f>
        <v>9322.6243093922658</v>
      </c>
      <c r="F97" s="6">
        <f>F98*366</f>
        <v>10745.954906916906</v>
      </c>
      <c r="G97" s="6">
        <f t="shared" ref="G97:Q97" si="162">G98*365</f>
        <v>11317.422078326423</v>
      </c>
      <c r="H97" s="6">
        <f t="shared" si="162"/>
        <v>11794.537943084712</v>
      </c>
      <c r="I97" s="6">
        <f t="shared" si="162"/>
        <v>13115.755747168505</v>
      </c>
      <c r="J97" s="6">
        <f>J98*366</f>
        <v>13668.178803314915</v>
      </c>
      <c r="K97" s="6">
        <f t="shared" ref="K97:N97" si="163">K98*366</f>
        <v>14193.726782071824</v>
      </c>
      <c r="L97" s="6">
        <f t="shared" si="163"/>
        <v>14728.333260828727</v>
      </c>
      <c r="M97" s="6">
        <f t="shared" si="163"/>
        <v>15271.998239585635</v>
      </c>
      <c r="N97" s="6">
        <f t="shared" si="163"/>
        <v>15824.721718342538</v>
      </c>
      <c r="O97" s="6">
        <f t="shared" si="162"/>
        <v>16136.330473756903</v>
      </c>
      <c r="P97" s="6">
        <f t="shared" si="162"/>
        <v>16491.176173756903</v>
      </c>
      <c r="Q97" s="6">
        <f t="shared" si="162"/>
        <v>16846.021873756901</v>
      </c>
      <c r="R97" s="6">
        <f>R98*366</f>
        <v>17079.258239999996</v>
      </c>
    </row>
    <row r="98" spans="1:19" ht="15.6">
      <c r="B98" s="4" t="s">
        <v>19</v>
      </c>
      <c r="C98" s="13">
        <f>C97/365</f>
        <v>28.175780821917808</v>
      </c>
      <c r="D98" s="13">
        <f>D97/365</f>
        <v>25.345041095890412</v>
      </c>
      <c r="E98" s="6">
        <f>E97/365</f>
        <v>25.541436464088399</v>
      </c>
      <c r="F98" s="6">
        <f t="shared" ref="F98:R98" si="164">F92*F94/1000</f>
        <v>29.360532532559851</v>
      </c>
      <c r="G98" s="6">
        <f t="shared" si="164"/>
        <v>31.006635831031296</v>
      </c>
      <c r="H98" s="6">
        <f t="shared" si="164"/>
        <v>32.313802583793731</v>
      </c>
      <c r="I98" s="6">
        <f t="shared" si="164"/>
        <v>35.933577389502751</v>
      </c>
      <c r="J98" s="6">
        <f t="shared" si="164"/>
        <v>37.344750828729275</v>
      </c>
      <c r="K98" s="6">
        <f t="shared" si="164"/>
        <v>38.780674267955803</v>
      </c>
      <c r="L98" s="6">
        <f t="shared" si="164"/>
        <v>40.241347707182314</v>
      </c>
      <c r="M98" s="6">
        <f t="shared" si="164"/>
        <v>41.726771146408836</v>
      </c>
      <c r="N98" s="6">
        <f t="shared" si="164"/>
        <v>43.236944585635349</v>
      </c>
      <c r="O98" s="6">
        <f t="shared" si="164"/>
        <v>44.209124585635351</v>
      </c>
      <c r="P98" s="6">
        <f t="shared" si="164"/>
        <v>45.181304585635353</v>
      </c>
      <c r="Q98" s="6">
        <f t="shared" si="164"/>
        <v>46.153484585635347</v>
      </c>
      <c r="R98" s="6">
        <f t="shared" si="164"/>
        <v>46.664639999999991</v>
      </c>
    </row>
    <row r="99" spans="1:19" ht="15.6">
      <c r="B99" s="4" t="s">
        <v>21</v>
      </c>
      <c r="C99" s="13">
        <v>15650</v>
      </c>
      <c r="D99" s="13">
        <v>13259.78</v>
      </c>
      <c r="E99" s="6">
        <f>7150/181*365</f>
        <v>14418.508287292818</v>
      </c>
      <c r="F99" s="6">
        <f>F100*366</f>
        <v>14640</v>
      </c>
      <c r="G99" s="6">
        <f t="shared" ref="G99:I99" si="165">G100*365</f>
        <v>14600</v>
      </c>
      <c r="H99" s="6">
        <f t="shared" si="165"/>
        <v>14600</v>
      </c>
      <c r="I99" s="6">
        <f t="shared" si="165"/>
        <v>14600</v>
      </c>
      <c r="J99" s="6">
        <f>J100*366</f>
        <v>14640</v>
      </c>
      <c r="K99" s="6">
        <f t="shared" ref="K99:Q99" si="166">K100*365</f>
        <v>14600</v>
      </c>
      <c r="L99" s="6">
        <f t="shared" si="166"/>
        <v>14600</v>
      </c>
      <c r="M99" s="6">
        <f t="shared" si="166"/>
        <v>14600</v>
      </c>
      <c r="N99" s="6">
        <f t="shared" ref="N99" si="167">N100*366</f>
        <v>14640</v>
      </c>
      <c r="O99" s="6">
        <f t="shared" si="166"/>
        <v>14600</v>
      </c>
      <c r="P99" s="6">
        <f t="shared" si="166"/>
        <v>14600</v>
      </c>
      <c r="Q99" s="6">
        <f t="shared" si="166"/>
        <v>83950</v>
      </c>
      <c r="R99" s="6">
        <f>R100*366</f>
        <v>153720</v>
      </c>
    </row>
    <row r="100" spans="1:19" ht="15.6">
      <c r="B100" s="4" t="s">
        <v>22</v>
      </c>
      <c r="C100" s="36">
        <f>C99/365</f>
        <v>42.876712328767127</v>
      </c>
      <c r="D100" s="36">
        <f>D99/365</f>
        <v>36.328164383561642</v>
      </c>
      <c r="E100" s="6">
        <f>E99/365</f>
        <v>39.502762430939228</v>
      </c>
      <c r="F100" s="6">
        <v>40</v>
      </c>
      <c r="G100" s="6">
        <v>40</v>
      </c>
      <c r="H100" s="6">
        <v>40</v>
      </c>
      <c r="I100" s="6">
        <v>40</v>
      </c>
      <c r="J100" s="6">
        <v>40</v>
      </c>
      <c r="K100" s="6">
        <v>40</v>
      </c>
      <c r="L100" s="6">
        <v>40</v>
      </c>
      <c r="M100" s="6">
        <v>40</v>
      </c>
      <c r="N100" s="6">
        <v>40</v>
      </c>
      <c r="O100" s="6">
        <v>40</v>
      </c>
      <c r="P100" s="6">
        <v>40</v>
      </c>
      <c r="Q100" s="6">
        <v>230</v>
      </c>
      <c r="R100" s="6">
        <v>420</v>
      </c>
      <c r="S100" s="37"/>
    </row>
    <row r="101" spans="1:19" ht="28.9">
      <c r="B101" s="4" t="s">
        <v>13</v>
      </c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>
        <v>190</v>
      </c>
      <c r="Q101" s="6">
        <v>190</v>
      </c>
      <c r="R101" s="6">
        <v>180</v>
      </c>
      <c r="S101" s="37"/>
    </row>
    <row r="102" spans="1:19" ht="15.75" customHeight="1">
      <c r="B102" s="11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5"/>
      <c r="R102" s="45"/>
    </row>
    <row r="104" spans="1:19" ht="13.5" customHeight="1">
      <c r="A104" s="43">
        <v>8</v>
      </c>
      <c r="B104" s="54" t="s">
        <v>30</v>
      </c>
      <c r="C104" s="54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</row>
    <row r="105" spans="1:19">
      <c r="B105" s="4" t="s">
        <v>1</v>
      </c>
      <c r="C105" s="18">
        <v>2021</v>
      </c>
      <c r="D105" s="18">
        <v>2022</v>
      </c>
      <c r="E105" s="18" t="s">
        <v>2</v>
      </c>
      <c r="F105" s="18">
        <v>2024</v>
      </c>
      <c r="G105" s="18">
        <v>2025</v>
      </c>
      <c r="H105" s="18">
        <v>2026</v>
      </c>
      <c r="I105" s="18">
        <v>2027</v>
      </c>
      <c r="J105" s="18">
        <v>2028</v>
      </c>
      <c r="K105" s="18">
        <v>2029</v>
      </c>
      <c r="L105" s="18">
        <v>2030</v>
      </c>
      <c r="M105" s="18">
        <v>2031</v>
      </c>
      <c r="N105" s="18">
        <v>2032</v>
      </c>
      <c r="O105" s="19">
        <v>2033</v>
      </c>
      <c r="P105" s="19">
        <v>2034</v>
      </c>
      <c r="Q105" s="19">
        <v>2035</v>
      </c>
      <c r="R105" s="19">
        <v>2036</v>
      </c>
    </row>
    <row r="106" spans="1:19">
      <c r="B106" s="4" t="s">
        <v>3</v>
      </c>
      <c r="C106" s="4">
        <v>565</v>
      </c>
      <c r="D106" s="4">
        <v>593</v>
      </c>
      <c r="E106" s="6">
        <v>605.43999999999994</v>
      </c>
      <c r="F106" s="6">
        <v>636.75999999999988</v>
      </c>
      <c r="G106" s="6">
        <v>668.07999999999981</v>
      </c>
      <c r="H106" s="6">
        <v>699.39999999999975</v>
      </c>
      <c r="I106" s="6">
        <v>730.71999999999969</v>
      </c>
      <c r="J106" s="6">
        <v>762.03999999999962</v>
      </c>
      <c r="K106" s="6">
        <v>793.35999999999956</v>
      </c>
      <c r="L106" s="6">
        <v>824.6799999999995</v>
      </c>
      <c r="M106" s="6">
        <v>855.99999999999943</v>
      </c>
      <c r="N106" s="6">
        <v>882.75999999999931</v>
      </c>
      <c r="O106" s="6">
        <v>891.87999999999931</v>
      </c>
      <c r="P106" s="6">
        <v>896.43999999999926</v>
      </c>
      <c r="Q106" s="6">
        <v>900.9999999999992</v>
      </c>
      <c r="R106" s="6">
        <v>900.9999999999992</v>
      </c>
    </row>
    <row r="107" spans="1:19">
      <c r="B107" s="4" t="s">
        <v>4</v>
      </c>
      <c r="C107" s="6">
        <f>C106*C108/100</f>
        <v>452</v>
      </c>
      <c r="D107" s="6">
        <f>D106*D108/100</f>
        <v>480.33</v>
      </c>
      <c r="E107" s="6">
        <v>490</v>
      </c>
      <c r="F107" s="6">
        <f t="shared" ref="F107" si="168">F106*F108/100</f>
        <v>524.05347999999992</v>
      </c>
      <c r="G107" s="6">
        <f t="shared" ref="G107" si="169">G106*G108/100</f>
        <v>555.17447999999979</v>
      </c>
      <c r="H107" s="6">
        <f t="shared" ref="H107" si="170">H106*H108/100</f>
        <v>586.09719999999982</v>
      </c>
      <c r="I107" s="6">
        <f t="shared" ref="I107" si="171">I106*I108/100</f>
        <v>617.45839999999976</v>
      </c>
      <c r="J107" s="6">
        <f t="shared" ref="J107" si="172">J106*J108/100</f>
        <v>649.25807999999972</v>
      </c>
      <c r="K107" s="6">
        <f t="shared" ref="K107" si="173">K106*K108/100</f>
        <v>680.7028799999996</v>
      </c>
      <c r="L107" s="6">
        <f t="shared" ref="L107" si="174">L106*L108/100</f>
        <v>711.69883999999945</v>
      </c>
      <c r="M107" s="6">
        <f t="shared" ref="M107" si="175">M106*M108/100</f>
        <v>743.00799999999947</v>
      </c>
      <c r="N107" s="6">
        <f t="shared" ref="N107" si="176">N106*N108/100</f>
        <v>769.76671999999951</v>
      </c>
      <c r="O107" s="6">
        <f t="shared" ref="O107" si="177">O106*O108/100</f>
        <v>778.61123999999938</v>
      </c>
      <c r="P107" s="6">
        <f t="shared" ref="P107" si="178">P106*P108/100</f>
        <v>783.48855999999944</v>
      </c>
      <c r="Q107" s="6">
        <f t="shared" ref="Q107" si="179">Q106*Q108/100</f>
        <v>788.37499999999932</v>
      </c>
      <c r="R107" s="6">
        <f t="shared" ref="R107" si="180">R106*R108/100</f>
        <v>788.37499999999932</v>
      </c>
    </row>
    <row r="108" spans="1:19">
      <c r="B108" s="4" t="s">
        <v>5</v>
      </c>
      <c r="C108" s="6">
        <v>80</v>
      </c>
      <c r="D108" s="6">
        <v>81</v>
      </c>
      <c r="E108" s="6">
        <v>81.3</v>
      </c>
      <c r="F108" s="6">
        <v>82.3</v>
      </c>
      <c r="G108" s="6">
        <v>83.1</v>
      </c>
      <c r="H108" s="6">
        <v>83.8</v>
      </c>
      <c r="I108" s="6">
        <v>84.5</v>
      </c>
      <c r="J108" s="6">
        <v>85.2</v>
      </c>
      <c r="K108" s="6">
        <v>85.8</v>
      </c>
      <c r="L108" s="6">
        <v>86.3</v>
      </c>
      <c r="M108" s="6">
        <v>86.8</v>
      </c>
      <c r="N108" s="6">
        <v>87.2</v>
      </c>
      <c r="O108" s="6">
        <v>87.3</v>
      </c>
      <c r="P108" s="6">
        <v>87.4</v>
      </c>
      <c r="Q108" s="6">
        <v>87.5</v>
      </c>
      <c r="R108" s="6">
        <v>87.5</v>
      </c>
    </row>
    <row r="109" spans="1:19">
      <c r="B109" s="4" t="s">
        <v>6</v>
      </c>
      <c r="C109" s="3">
        <f>C113/C107*1000</f>
        <v>115.55521881440174</v>
      </c>
      <c r="D109" s="3">
        <f>D113/D107*1000</f>
        <v>109.27550094698023</v>
      </c>
      <c r="E109" s="3">
        <f>E113/E107*1000</f>
        <v>107.40782500845641</v>
      </c>
      <c r="F109" s="3">
        <v>113.52000025934761</v>
      </c>
      <c r="G109" s="3">
        <v>114.01846177785933</v>
      </c>
      <c r="H109" s="3">
        <v>114.51692329637105</v>
      </c>
      <c r="I109" s="3">
        <v>115.01538481488276</v>
      </c>
      <c r="J109" s="3">
        <v>115.51384633339448</v>
      </c>
      <c r="K109" s="3">
        <v>116.0123078519062</v>
      </c>
      <c r="L109" s="3">
        <v>116.51076937041792</v>
      </c>
      <c r="M109" s="3">
        <v>117.00923088892964</v>
      </c>
      <c r="N109" s="3">
        <v>117.50769240744135</v>
      </c>
      <c r="O109" s="3">
        <v>118.00615392595307</v>
      </c>
      <c r="P109" s="3">
        <v>118.50461544446479</v>
      </c>
      <c r="Q109" s="3">
        <v>120</v>
      </c>
      <c r="R109" s="3">
        <v>120</v>
      </c>
    </row>
    <row r="110" spans="1:19" ht="15.6">
      <c r="B110" s="4" t="s">
        <v>16</v>
      </c>
      <c r="C110" s="10">
        <f>+C112+C114</f>
        <v>19064.3</v>
      </c>
      <c r="D110" s="10">
        <f>+D112+D114</f>
        <v>19158.23</v>
      </c>
      <c r="E110" s="10">
        <f t="shared" ref="E110" si="181">+E112+E114</f>
        <v>19209.889502762431</v>
      </c>
      <c r="F110" s="10">
        <f t="shared" ref="F110" si="182">+F112+F114</f>
        <v>21773.541733897397</v>
      </c>
      <c r="G110" s="10">
        <f>G111*365</f>
        <v>23104.551183191863</v>
      </c>
      <c r="H110" s="10">
        <f t="shared" ref="H110" si="183">H111*365</f>
        <v>24498.087555265502</v>
      </c>
      <c r="I110" s="10">
        <f t="shared" ref="I110" si="184">I111*365</f>
        <v>25921.283651361347</v>
      </c>
      <c r="J110" s="10">
        <f t="shared" ref="J110" si="185">J111*365</f>
        <v>45624.378800599668</v>
      </c>
      <c r="K110" s="10">
        <f t="shared" ref="K110" si="186">K111*365</f>
        <v>47074.017905637273</v>
      </c>
      <c r="L110" s="10">
        <f t="shared" ref="L110" si="187">L111*365</f>
        <v>48516.011484078372</v>
      </c>
      <c r="M110" s="10">
        <f t="shared" ref="M110" si="188">M111*365</f>
        <v>49982.660037877438</v>
      </c>
      <c r="N110" s="10">
        <f t="shared" ref="N110" si="189">N111*365</f>
        <v>51265.531500124409</v>
      </c>
      <c r="O110" s="10">
        <f t="shared" ref="O110" si="190">O111*365</f>
        <v>51786.535010109743</v>
      </c>
      <c r="P110" s="10">
        <f t="shared" ref="P110" si="191">P111*365</f>
        <v>52139.158835397153</v>
      </c>
      <c r="Q110" s="10">
        <f t="shared" ref="Q110" si="192">Q111*365</f>
        <v>52780.824999999968</v>
      </c>
      <c r="R110" s="10">
        <f t="shared" ref="R110" si="193">R111*365</f>
        <v>52780.824999999968</v>
      </c>
    </row>
    <row r="111" spans="1:19" ht="15.6">
      <c r="B111" s="4" t="s">
        <v>17</v>
      </c>
      <c r="C111" s="6">
        <f t="shared" ref="C111:F111" si="194">C113+C115</f>
        <v>52.230958904109585</v>
      </c>
      <c r="D111" s="6">
        <f t="shared" si="194"/>
        <v>52.488301369863009</v>
      </c>
      <c r="E111" s="6">
        <f>E110/365</f>
        <v>52.629834254143645</v>
      </c>
      <c r="F111" s="6">
        <f t="shared" si="194"/>
        <v>59.490551185512011</v>
      </c>
      <c r="G111" s="6">
        <f>G113+G115+G116</f>
        <v>63.30014022792291</v>
      </c>
      <c r="H111" s="6">
        <f t="shared" ref="H111:Q111" si="195">H113+H115+H116</f>
        <v>67.118048096617812</v>
      </c>
      <c r="I111" s="6">
        <f t="shared" si="195"/>
        <v>71.017215483181772</v>
      </c>
      <c r="J111" s="6">
        <f t="shared" si="195"/>
        <v>124.99829808383471</v>
      </c>
      <c r="K111" s="6">
        <f t="shared" si="195"/>
        <v>128.9699120702391</v>
      </c>
      <c r="L111" s="6">
        <f t="shared" si="195"/>
        <v>132.92057940843389</v>
      </c>
      <c r="M111" s="6">
        <f t="shared" si="195"/>
        <v>136.93879462432176</v>
      </c>
      <c r="N111" s="6">
        <f t="shared" si="195"/>
        <v>140.45351095924497</v>
      </c>
      <c r="O111" s="6">
        <f t="shared" si="195"/>
        <v>141.8809178359171</v>
      </c>
      <c r="P111" s="6">
        <f t="shared" si="195"/>
        <v>142.8470105079374</v>
      </c>
      <c r="Q111" s="6">
        <f t="shared" si="195"/>
        <v>144.6049999999999</v>
      </c>
      <c r="R111" s="6">
        <f t="shared" ref="R111" si="196">R113+R115+R116</f>
        <v>144.6049999999999</v>
      </c>
    </row>
    <row r="112" spans="1:19" ht="15.6">
      <c r="B112" s="4" t="s">
        <v>18</v>
      </c>
      <c r="C112" s="6">
        <v>19064.3</v>
      </c>
      <c r="D112" s="6">
        <v>19158.23</v>
      </c>
      <c r="E112" s="6">
        <f>9526/181*365</f>
        <v>19209.889502762431</v>
      </c>
      <c r="F112" s="6">
        <f>F113*366</f>
        <v>21773.541733897397</v>
      </c>
      <c r="G112" s="6">
        <f t="shared" ref="G112:Q112" si="197">G113*365</f>
        <v>23104.551183191863</v>
      </c>
      <c r="H112" s="6">
        <f t="shared" si="197"/>
        <v>24498.087555265502</v>
      </c>
      <c r="I112" s="6">
        <f t="shared" si="197"/>
        <v>25921.283651361347</v>
      </c>
      <c r="J112" s="6">
        <f>J113*366</f>
        <v>27449.377098683504</v>
      </c>
      <c r="K112" s="6">
        <f t="shared" ref="K112" si="198">K113*366</f>
        <v>28902.987817707519</v>
      </c>
      <c r="L112" s="6">
        <f t="shared" ref="L112" si="199">L113*366</f>
        <v>30348.932063486805</v>
      </c>
      <c r="M112" s="6">
        <f t="shared" ref="M112" si="200">M113*366</f>
        <v>31819.598832501768</v>
      </c>
      <c r="N112" s="6">
        <f t="shared" ref="N112" si="201">N113*366</f>
        <v>33105.985011083663</v>
      </c>
      <c r="O112" s="6">
        <f t="shared" si="197"/>
        <v>33536.53501010975</v>
      </c>
      <c r="P112" s="6">
        <f t="shared" si="197"/>
        <v>33889.158835397153</v>
      </c>
      <c r="Q112" s="6">
        <f t="shared" si="197"/>
        <v>34530.824999999968</v>
      </c>
      <c r="R112" s="6">
        <f>R113*366</f>
        <v>34625.429999999971</v>
      </c>
    </row>
    <row r="113" spans="1:19" ht="15.6">
      <c r="B113" s="4" t="s">
        <v>19</v>
      </c>
      <c r="C113" s="13">
        <f>C112/365</f>
        <v>52.230958904109585</v>
      </c>
      <c r="D113" s="13">
        <f>D112/365</f>
        <v>52.488301369863009</v>
      </c>
      <c r="E113" s="6">
        <f>E112/365</f>
        <v>52.629834254143645</v>
      </c>
      <c r="F113" s="6">
        <f t="shared" ref="F113:R113" si="202">F107*F109/1000</f>
        <v>59.490551185512011</v>
      </c>
      <c r="G113" s="6">
        <f t="shared" si="202"/>
        <v>63.30014022792291</v>
      </c>
      <c r="H113" s="6">
        <f t="shared" si="202"/>
        <v>67.118048096617812</v>
      </c>
      <c r="I113" s="6">
        <f t="shared" si="202"/>
        <v>71.017215483181772</v>
      </c>
      <c r="J113" s="6">
        <f t="shared" si="202"/>
        <v>74.998298083834712</v>
      </c>
      <c r="K113" s="6">
        <f t="shared" si="202"/>
        <v>78.969912070239118</v>
      </c>
      <c r="L113" s="6">
        <f t="shared" si="202"/>
        <v>82.920579408433895</v>
      </c>
      <c r="M113" s="6">
        <f t="shared" si="202"/>
        <v>86.938794624321773</v>
      </c>
      <c r="N113" s="6">
        <f t="shared" si="202"/>
        <v>90.45351095924498</v>
      </c>
      <c r="O113" s="6">
        <f t="shared" si="202"/>
        <v>91.880917835917117</v>
      </c>
      <c r="P113" s="6">
        <f t="shared" si="202"/>
        <v>92.847010507937398</v>
      </c>
      <c r="Q113" s="6">
        <f t="shared" si="202"/>
        <v>94.604999999999919</v>
      </c>
      <c r="R113" s="6">
        <f t="shared" si="202"/>
        <v>94.604999999999919</v>
      </c>
    </row>
    <row r="114" spans="1:19" ht="15.6">
      <c r="B114" s="4" t="s">
        <v>11</v>
      </c>
      <c r="C114" s="13">
        <v>0</v>
      </c>
      <c r="D114" s="13">
        <v>0</v>
      </c>
      <c r="E114" s="13">
        <v>0</v>
      </c>
      <c r="F114" s="6">
        <f>F115*366</f>
        <v>0</v>
      </c>
      <c r="G114" s="6">
        <f t="shared" ref="G114:Q114" si="203">G115*365</f>
        <v>0</v>
      </c>
      <c r="H114" s="6">
        <f t="shared" si="203"/>
        <v>0</v>
      </c>
      <c r="I114" s="6">
        <f t="shared" si="203"/>
        <v>0</v>
      </c>
      <c r="J114" s="6">
        <f>J115*366</f>
        <v>0</v>
      </c>
      <c r="K114" s="6">
        <f t="shared" si="203"/>
        <v>0</v>
      </c>
      <c r="L114" s="6">
        <f t="shared" si="203"/>
        <v>0</v>
      </c>
      <c r="M114" s="6">
        <f t="shared" si="203"/>
        <v>0</v>
      </c>
      <c r="N114" s="6">
        <f t="shared" ref="N114" si="204">N115*366</f>
        <v>0</v>
      </c>
      <c r="O114" s="6">
        <f t="shared" si="203"/>
        <v>0</v>
      </c>
      <c r="P114" s="6">
        <f t="shared" si="203"/>
        <v>0</v>
      </c>
      <c r="Q114" s="6">
        <f t="shared" si="203"/>
        <v>0</v>
      </c>
      <c r="R114" s="6">
        <f>R115*366</f>
        <v>0</v>
      </c>
    </row>
    <row r="115" spans="1:19" ht="15.6">
      <c r="B115" s="4" t="s">
        <v>12</v>
      </c>
      <c r="C115" s="36">
        <f>C114/365</f>
        <v>0</v>
      </c>
      <c r="D115" s="36">
        <f>D114/365</f>
        <v>0</v>
      </c>
      <c r="E115" s="36">
        <f>E114/365</f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v>0</v>
      </c>
      <c r="P115" s="13">
        <v>0</v>
      </c>
      <c r="Q115" s="13">
        <v>0</v>
      </c>
      <c r="R115" s="13">
        <v>0</v>
      </c>
      <c r="S115" s="38"/>
    </row>
    <row r="116" spans="1:19" ht="28.9">
      <c r="B116" s="4" t="s">
        <v>13</v>
      </c>
      <c r="C116" s="6"/>
      <c r="D116" s="6"/>
      <c r="E116" s="6"/>
      <c r="F116" s="6"/>
      <c r="G116" s="6"/>
      <c r="H116" s="6"/>
      <c r="I116" s="6"/>
      <c r="J116" s="13">
        <v>50</v>
      </c>
      <c r="K116" s="13">
        <v>50</v>
      </c>
      <c r="L116" s="13">
        <v>50</v>
      </c>
      <c r="M116" s="13">
        <v>50</v>
      </c>
      <c r="N116" s="13">
        <v>50</v>
      </c>
      <c r="O116" s="13">
        <v>50</v>
      </c>
      <c r="P116" s="13">
        <v>50</v>
      </c>
      <c r="Q116" s="13">
        <v>50</v>
      </c>
      <c r="R116" s="13">
        <v>50</v>
      </c>
      <c r="S116" s="38"/>
    </row>
    <row r="117" spans="1:19">
      <c r="C117" s="9"/>
    </row>
    <row r="119" spans="1:19" ht="13.5" customHeight="1">
      <c r="A119" s="43">
        <v>9</v>
      </c>
      <c r="B119" s="55" t="s">
        <v>31</v>
      </c>
      <c r="C119" s="55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39"/>
      <c r="R119" s="39"/>
    </row>
    <row r="120" spans="1:19">
      <c r="B120" s="33" t="s">
        <v>1</v>
      </c>
      <c r="C120" s="40">
        <v>2021</v>
      </c>
      <c r="D120" s="40">
        <v>2022</v>
      </c>
      <c r="E120" s="40" t="s">
        <v>2</v>
      </c>
      <c r="F120" s="40">
        <v>2024</v>
      </c>
      <c r="G120" s="40">
        <v>2025</v>
      </c>
      <c r="H120" s="40">
        <v>2026</v>
      </c>
      <c r="I120" s="40">
        <v>2027</v>
      </c>
      <c r="J120" s="40">
        <v>2028</v>
      </c>
      <c r="K120" s="40">
        <v>2029</v>
      </c>
      <c r="L120" s="40">
        <v>2030</v>
      </c>
      <c r="M120" s="40">
        <v>2031</v>
      </c>
      <c r="N120" s="40">
        <v>2032</v>
      </c>
      <c r="O120" s="41">
        <v>2033</v>
      </c>
      <c r="P120" s="41">
        <v>2034</v>
      </c>
      <c r="Q120" s="41">
        <v>2035</v>
      </c>
      <c r="R120" s="41">
        <v>2036</v>
      </c>
    </row>
    <row r="121" spans="1:19">
      <c r="B121" s="33" t="s">
        <v>3</v>
      </c>
      <c r="C121" s="4">
        <v>1170</v>
      </c>
      <c r="D121" s="4">
        <v>1098</v>
      </c>
      <c r="E121" s="6">
        <v>1120</v>
      </c>
      <c r="F121" s="6">
        <v>1505.5</v>
      </c>
      <c r="G121" s="6">
        <v>1690.56</v>
      </c>
      <c r="H121" s="6">
        <v>1803.62</v>
      </c>
      <c r="I121" s="6">
        <v>1889.4399999999998</v>
      </c>
      <c r="J121" s="6">
        <v>1970.6399999999999</v>
      </c>
      <c r="K121" s="6">
        <v>2042.6</v>
      </c>
      <c r="L121" s="6">
        <v>2109.94</v>
      </c>
      <c r="M121" s="6">
        <v>2177.2800000000002</v>
      </c>
      <c r="N121" s="6">
        <v>2229.38</v>
      </c>
      <c r="O121" s="6">
        <v>2258</v>
      </c>
      <c r="P121" s="6">
        <v>2282</v>
      </c>
      <c r="Q121" s="6">
        <v>2282</v>
      </c>
      <c r="R121" s="6">
        <v>2282</v>
      </c>
    </row>
    <row r="122" spans="1:19">
      <c r="B122" s="33" t="s">
        <v>4</v>
      </c>
      <c r="C122" s="6">
        <f t="shared" ref="C122:I122" si="205">C121*C123/100</f>
        <v>936</v>
      </c>
      <c r="D122" s="6">
        <f t="shared" si="205"/>
        <v>867.42</v>
      </c>
      <c r="E122" s="6">
        <f t="shared" si="205"/>
        <v>921.76</v>
      </c>
      <c r="F122" s="6">
        <f t="shared" si="205"/>
        <v>1272.1475</v>
      </c>
      <c r="G122" s="6">
        <f t="shared" si="205"/>
        <v>1457.2627199999999</v>
      </c>
      <c r="H122" s="6">
        <f t="shared" si="205"/>
        <v>1569.1494</v>
      </c>
      <c r="I122" s="6">
        <f t="shared" si="205"/>
        <v>1655.1494399999999</v>
      </c>
      <c r="J122" s="6">
        <f t="shared" ref="J122" si="206">J121*J123/100</f>
        <v>1736.13384</v>
      </c>
      <c r="K122" s="6">
        <f t="shared" ref="K122" si="207">K121*K123/100</f>
        <v>1807.701</v>
      </c>
      <c r="L122" s="6">
        <f t="shared" ref="L122" si="208">L121*L123/100</f>
        <v>1875.7366600000003</v>
      </c>
      <c r="M122" s="6">
        <f t="shared" ref="M122" si="209">M121*M123/100</f>
        <v>1944.3110400000003</v>
      </c>
      <c r="N122" s="6">
        <f t="shared" ref="N122" si="210">N121*N123/100</f>
        <v>1995.2951</v>
      </c>
      <c r="O122" s="6">
        <f t="shared" ref="O122" si="211">O121*O123/100</f>
        <v>2023.1679999999999</v>
      </c>
      <c r="P122" s="6">
        <f t="shared" ref="P122" si="212">P121*P123/100</f>
        <v>2046.954</v>
      </c>
      <c r="Q122" s="6">
        <f t="shared" ref="Q122" si="213">Q121*Q123/100</f>
        <v>2046.954</v>
      </c>
      <c r="R122" s="6">
        <f t="shared" ref="R122" si="214">R121*R123/100</f>
        <v>2046.954</v>
      </c>
    </row>
    <row r="123" spans="1:19">
      <c r="B123" s="33" t="s">
        <v>5</v>
      </c>
      <c r="C123" s="6">
        <v>80</v>
      </c>
      <c r="D123" s="6">
        <v>79</v>
      </c>
      <c r="E123" s="6">
        <v>82.3</v>
      </c>
      <c r="F123" s="6">
        <v>84.5</v>
      </c>
      <c r="G123" s="6">
        <v>86.2</v>
      </c>
      <c r="H123" s="6">
        <v>87</v>
      </c>
      <c r="I123" s="6">
        <v>87.6</v>
      </c>
      <c r="J123" s="6">
        <v>88.1</v>
      </c>
      <c r="K123" s="6">
        <v>88.5</v>
      </c>
      <c r="L123" s="6">
        <v>88.9</v>
      </c>
      <c r="M123" s="6">
        <v>89.3</v>
      </c>
      <c r="N123" s="6">
        <v>89.5</v>
      </c>
      <c r="O123" s="6">
        <v>89.6</v>
      </c>
      <c r="P123" s="6">
        <v>89.7</v>
      </c>
      <c r="Q123" s="6">
        <v>89.7</v>
      </c>
      <c r="R123" s="6">
        <v>89.7</v>
      </c>
    </row>
    <row r="124" spans="1:19">
      <c r="B124" s="33" t="s">
        <v>6</v>
      </c>
      <c r="C124" s="3">
        <f>C128/C122*1000</f>
        <v>126.83157709870041</v>
      </c>
      <c r="D124" s="3">
        <f>D128/D122*1000</f>
        <v>136.68191895158785</v>
      </c>
      <c r="E124" s="3">
        <f>E128/E122*1000</f>
        <v>134.63913857803615</v>
      </c>
      <c r="F124" s="3">
        <f t="shared" ref="F124:P124" si="215">+E124-0.45</f>
        <v>134.18913857803616</v>
      </c>
      <c r="G124" s="3">
        <f t="shared" si="215"/>
        <v>133.73913857803618</v>
      </c>
      <c r="H124" s="3">
        <f t="shared" si="215"/>
        <v>133.28913857803619</v>
      </c>
      <c r="I124" s="3">
        <f t="shared" si="215"/>
        <v>132.8391385780362</v>
      </c>
      <c r="J124" s="3">
        <f t="shared" si="215"/>
        <v>132.38913857803621</v>
      </c>
      <c r="K124" s="3">
        <f t="shared" si="215"/>
        <v>131.93913857803622</v>
      </c>
      <c r="L124" s="3">
        <f t="shared" si="215"/>
        <v>131.48913857803623</v>
      </c>
      <c r="M124" s="3">
        <f t="shared" si="215"/>
        <v>131.03913857803624</v>
      </c>
      <c r="N124" s="3">
        <f t="shared" si="215"/>
        <v>130.58913857803626</v>
      </c>
      <c r="O124" s="3">
        <f t="shared" si="215"/>
        <v>130.13913857803627</v>
      </c>
      <c r="P124" s="3">
        <f t="shared" si="215"/>
        <v>129.68913857803628</v>
      </c>
      <c r="Q124" s="3">
        <v>130</v>
      </c>
      <c r="R124" s="3">
        <v>130</v>
      </c>
    </row>
    <row r="125" spans="1:19" ht="15.6">
      <c r="B125" s="33" t="s">
        <v>32</v>
      </c>
      <c r="C125" s="10">
        <f>+C127+C129</f>
        <v>54051.760000000009</v>
      </c>
      <c r="D125" s="10">
        <f>+D127+D129</f>
        <v>54137.900000000009</v>
      </c>
      <c r="E125" s="10">
        <f t="shared" ref="E125" si="216">+E127+E129</f>
        <v>56302.762430939227</v>
      </c>
      <c r="F125" s="10">
        <f>F126*365</f>
        <v>74718.557666758832</v>
      </c>
      <c r="G125" s="10">
        <f t="shared" ref="G125" si="217">G126*365</f>
        <v>83910.967211960364</v>
      </c>
      <c r="H125" s="10">
        <f t="shared" ref="H125" si="218">H126*365</f>
        <v>92764.958716578461</v>
      </c>
      <c r="I125" s="10">
        <f t="shared" ref="I125" si="219">I126*365</f>
        <v>94852.048427044429</v>
      </c>
      <c r="J125" s="10">
        <f t="shared" ref="J125" si="220">J126*365</f>
        <v>98493.521189829029</v>
      </c>
      <c r="K125" s="10">
        <f t="shared" ref="K125" si="221">K126*365</f>
        <v>101654.87715252895</v>
      </c>
      <c r="L125" s="10">
        <f t="shared" ref="L125" si="222">L126*365</f>
        <v>104623.23413226465</v>
      </c>
      <c r="M125" s="10">
        <f t="shared" ref="M125" si="223">M126*365</f>
        <v>107595.00799041853</v>
      </c>
      <c r="N125" s="10">
        <f t="shared" ref="N125" si="224">N126*365</f>
        <v>109705.81193606149</v>
      </c>
      <c r="O125" s="10">
        <f t="shared" ref="O125" si="225">O126*365</f>
        <v>110702.06936230668</v>
      </c>
      <c r="P125" s="10">
        <f t="shared" ref="P125" si="226">P126*365</f>
        <v>120620.71085363596</v>
      </c>
      <c r="Q125" s="10">
        <f t="shared" ref="Q125" si="227">Q126*365</f>
        <v>129977.9673</v>
      </c>
      <c r="R125" s="10">
        <f t="shared" ref="R125" si="228">R126*365</f>
        <v>139102.96729999999</v>
      </c>
    </row>
    <row r="126" spans="1:19" ht="15.6">
      <c r="B126" s="33" t="s">
        <v>33</v>
      </c>
      <c r="C126" s="6">
        <f t="shared" ref="C126:D126" si="229">C128+C130</f>
        <v>148.08701369863016</v>
      </c>
      <c r="D126" s="6">
        <f t="shared" si="229"/>
        <v>148.32301369863015</v>
      </c>
      <c r="E126" s="6">
        <f>E125/365</f>
        <v>154.25414364640883</v>
      </c>
      <c r="F126" s="6">
        <f>F128+F130+F131</f>
        <v>204.70837716920227</v>
      </c>
      <c r="G126" s="6">
        <f t="shared" ref="G126:R126" si="230">G128+G130+G131</f>
        <v>229.89306085468593</v>
      </c>
      <c r="H126" s="6">
        <f t="shared" si="230"/>
        <v>254.15057182624236</v>
      </c>
      <c r="I126" s="6">
        <f t="shared" si="230"/>
        <v>259.868625827519</v>
      </c>
      <c r="J126" s="6">
        <f t="shared" si="230"/>
        <v>269.84526353377817</v>
      </c>
      <c r="K126" s="6">
        <f t="shared" si="230"/>
        <v>278.50651274665466</v>
      </c>
      <c r="L126" s="6">
        <f t="shared" si="230"/>
        <v>286.63899762264288</v>
      </c>
      <c r="M126" s="6">
        <f t="shared" si="230"/>
        <v>294.78084380936582</v>
      </c>
      <c r="N126" s="6">
        <f t="shared" si="230"/>
        <v>300.5638683179767</v>
      </c>
      <c r="O126" s="6">
        <f t="shared" si="230"/>
        <v>303.29334071864844</v>
      </c>
      <c r="P126" s="6">
        <f t="shared" si="230"/>
        <v>330.46770096886564</v>
      </c>
      <c r="Q126" s="6">
        <f t="shared" si="230"/>
        <v>356.10401999999999</v>
      </c>
      <c r="R126" s="6">
        <f t="shared" si="230"/>
        <v>381.10401999999999</v>
      </c>
    </row>
    <row r="127" spans="1:19" ht="15.6">
      <c r="B127" s="33" t="s">
        <v>34</v>
      </c>
      <c r="C127" s="6">
        <v>43330.740000000005</v>
      </c>
      <c r="D127" s="6">
        <v>43274.630000000005</v>
      </c>
      <c r="E127" s="6">
        <f>22463/181*365</f>
        <v>45298.314917127071</v>
      </c>
      <c r="F127" s="6">
        <f>F128*366</f>
        <v>62479.26604392803</v>
      </c>
      <c r="G127" s="6">
        <f t="shared" ref="G127:Q127" si="231">G128*365</f>
        <v>71135.967211960364</v>
      </c>
      <c r="H127" s="6">
        <f t="shared" si="231"/>
        <v>76339.958716578461</v>
      </c>
      <c r="I127" s="6">
        <f t="shared" si="231"/>
        <v>80252.048427044429</v>
      </c>
      <c r="J127" s="6">
        <f>J128*366</f>
        <v>84123.366453362803</v>
      </c>
      <c r="K127" s="6">
        <f t="shared" ref="K127" si="232">K128*366</f>
        <v>87293.3836652756</v>
      </c>
      <c r="L127" s="6">
        <f t="shared" ref="L127" si="233">L128*366</f>
        <v>90269.873129887288</v>
      </c>
      <c r="M127" s="6">
        <f t="shared" ref="M127" si="234">M128*366</f>
        <v>93249.788834227889</v>
      </c>
      <c r="N127" s="6">
        <f t="shared" ref="N127" si="235">N128*366</f>
        <v>95366.375804379466</v>
      </c>
      <c r="O127" s="6">
        <f t="shared" si="231"/>
        <v>96102.069362306676</v>
      </c>
      <c r="P127" s="6">
        <f t="shared" si="231"/>
        <v>96895.710853635959</v>
      </c>
      <c r="Q127" s="6">
        <f t="shared" si="231"/>
        <v>97127.967300000004</v>
      </c>
      <c r="R127" s="6">
        <f>R128*366</f>
        <v>97394.071320000003</v>
      </c>
    </row>
    <row r="128" spans="1:19" ht="15.6">
      <c r="B128" s="33" t="s">
        <v>35</v>
      </c>
      <c r="C128" s="13">
        <f>C127/365</f>
        <v>118.71435616438357</v>
      </c>
      <c r="D128" s="13">
        <f>D127/365</f>
        <v>118.56063013698632</v>
      </c>
      <c r="E128" s="6">
        <f>E127/365</f>
        <v>124.10497237569061</v>
      </c>
      <c r="F128" s="6">
        <f>F122*F124/1000</f>
        <v>170.70837716920227</v>
      </c>
      <c r="G128" s="6">
        <f>G122*G124/1000</f>
        <v>194.89306085468593</v>
      </c>
      <c r="H128" s="6">
        <f>H122*H124/1000</f>
        <v>209.15057182624236</v>
      </c>
      <c r="I128" s="6">
        <f>I122*I124/1000</f>
        <v>219.868625827519</v>
      </c>
      <c r="J128" s="6">
        <f t="shared" ref="J128:R128" si="236">J122*J124/1000</f>
        <v>229.84526353377814</v>
      </c>
      <c r="K128" s="6">
        <f t="shared" si="236"/>
        <v>238.50651274665466</v>
      </c>
      <c r="L128" s="6">
        <f t="shared" si="236"/>
        <v>246.63899762264288</v>
      </c>
      <c r="M128" s="6">
        <f t="shared" si="236"/>
        <v>254.78084380936582</v>
      </c>
      <c r="N128" s="6">
        <f t="shared" si="236"/>
        <v>260.5638683179767</v>
      </c>
      <c r="O128" s="6">
        <f t="shared" si="236"/>
        <v>263.29334071864844</v>
      </c>
      <c r="P128" s="6">
        <f t="shared" si="236"/>
        <v>265.46770096886564</v>
      </c>
      <c r="Q128" s="6">
        <f t="shared" si="236"/>
        <v>266.10401999999999</v>
      </c>
      <c r="R128" s="6">
        <f t="shared" si="236"/>
        <v>266.10401999999999</v>
      </c>
    </row>
    <row r="129" spans="1:19" ht="15.6">
      <c r="B129" s="33" t="s">
        <v>36</v>
      </c>
      <c r="C129" s="13">
        <v>10721.02</v>
      </c>
      <c r="D129" s="13">
        <v>10863.27</v>
      </c>
      <c r="E129" s="6">
        <f>5457/181*365</f>
        <v>11004.447513812154</v>
      </c>
      <c r="F129" s="6">
        <f>F130*366</f>
        <v>12444</v>
      </c>
      <c r="G129" s="6">
        <f t="shared" ref="G129:Q129" si="237">G130*365</f>
        <v>12775</v>
      </c>
      <c r="H129" s="6">
        <f t="shared" si="237"/>
        <v>16425</v>
      </c>
      <c r="I129" s="6">
        <f t="shared" si="237"/>
        <v>14600</v>
      </c>
      <c r="J129" s="6">
        <f>J130*366</f>
        <v>14640</v>
      </c>
      <c r="K129" s="6">
        <f t="shared" si="237"/>
        <v>14600</v>
      </c>
      <c r="L129" s="6">
        <f t="shared" si="237"/>
        <v>14600</v>
      </c>
      <c r="M129" s="6">
        <f t="shared" si="237"/>
        <v>14600</v>
      </c>
      <c r="N129" s="6">
        <f t="shared" ref="N129" si="238">N130*366</f>
        <v>14640</v>
      </c>
      <c r="O129" s="6">
        <f t="shared" si="237"/>
        <v>14600</v>
      </c>
      <c r="P129" s="6">
        <f t="shared" si="237"/>
        <v>14600</v>
      </c>
      <c r="Q129" s="6">
        <f t="shared" si="237"/>
        <v>23725</v>
      </c>
      <c r="R129" s="6">
        <f>R130*366</f>
        <v>32940</v>
      </c>
    </row>
    <row r="130" spans="1:19" ht="15.6">
      <c r="B130" s="33" t="s">
        <v>37</v>
      </c>
      <c r="C130" s="36">
        <f>C129/365</f>
        <v>29.372657534246578</v>
      </c>
      <c r="D130" s="36">
        <f>D129/365</f>
        <v>29.762383561643837</v>
      </c>
      <c r="E130" s="6">
        <f>E129/365</f>
        <v>30.149171270718231</v>
      </c>
      <c r="F130" s="6">
        <v>34</v>
      </c>
      <c r="G130" s="6">
        <v>35</v>
      </c>
      <c r="H130" s="6">
        <v>45</v>
      </c>
      <c r="I130" s="6">
        <v>40</v>
      </c>
      <c r="J130" s="6">
        <v>40</v>
      </c>
      <c r="K130" s="6">
        <v>40</v>
      </c>
      <c r="L130" s="6">
        <v>40</v>
      </c>
      <c r="M130" s="6">
        <v>40</v>
      </c>
      <c r="N130" s="6">
        <v>40</v>
      </c>
      <c r="O130" s="6">
        <v>40</v>
      </c>
      <c r="P130" s="6">
        <v>40</v>
      </c>
      <c r="Q130" s="6">
        <v>65</v>
      </c>
      <c r="R130" s="6">
        <v>90</v>
      </c>
      <c r="S130" s="32"/>
    </row>
    <row r="131" spans="1:19" ht="28.9">
      <c r="B131" s="4" t="s">
        <v>13</v>
      </c>
      <c r="C131" s="6"/>
      <c r="D131" s="6"/>
      <c r="E131" s="6"/>
      <c r="F131" s="6"/>
      <c r="G131" s="6"/>
      <c r="H131" s="6"/>
      <c r="I131" s="6"/>
      <c r="J131" s="13"/>
      <c r="K131" s="13"/>
      <c r="L131" s="13"/>
      <c r="M131" s="13"/>
      <c r="N131" s="13"/>
      <c r="O131" s="13"/>
      <c r="P131" s="13">
        <v>25</v>
      </c>
      <c r="Q131" s="13">
        <v>25</v>
      </c>
      <c r="R131" s="13">
        <v>25</v>
      </c>
      <c r="S131" s="32"/>
    </row>
    <row r="132" spans="1:19"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5"/>
      <c r="R132" s="45"/>
    </row>
    <row r="134" spans="1:19" ht="13.5" customHeight="1">
      <c r="A134" s="43">
        <v>10</v>
      </c>
      <c r="B134" s="54" t="s">
        <v>38</v>
      </c>
      <c r="C134" s="54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</row>
    <row r="135" spans="1:19">
      <c r="B135" s="2" t="s">
        <v>1</v>
      </c>
      <c r="C135" s="18">
        <v>2021</v>
      </c>
      <c r="D135" s="18">
        <v>2022</v>
      </c>
      <c r="E135" s="18" t="s">
        <v>2</v>
      </c>
      <c r="F135" s="18">
        <v>2024</v>
      </c>
      <c r="G135" s="18">
        <v>2025</v>
      </c>
      <c r="H135" s="18">
        <v>2026</v>
      </c>
      <c r="I135" s="18">
        <v>2027</v>
      </c>
      <c r="J135" s="18">
        <v>2028</v>
      </c>
      <c r="K135" s="18">
        <v>2029</v>
      </c>
      <c r="L135" s="18">
        <v>2030</v>
      </c>
      <c r="M135" s="18">
        <v>2031</v>
      </c>
      <c r="N135" s="18">
        <v>2032</v>
      </c>
      <c r="O135" s="19">
        <v>2033</v>
      </c>
      <c r="P135" s="19">
        <v>2034</v>
      </c>
      <c r="Q135" s="19">
        <v>2035</v>
      </c>
      <c r="R135" s="19">
        <v>2036</v>
      </c>
    </row>
    <row r="136" spans="1:19">
      <c r="B136" s="4" t="s">
        <v>3</v>
      </c>
      <c r="C136" s="4">
        <v>1793</v>
      </c>
      <c r="D136" s="4">
        <v>1987</v>
      </c>
      <c r="E136" s="6">
        <v>1856.4199999999996</v>
      </c>
      <c r="F136" s="6">
        <v>1893.7399999999993</v>
      </c>
      <c r="G136" s="6">
        <v>1944.1099999999992</v>
      </c>
      <c r="H136" s="6">
        <v>1981.4299999999989</v>
      </c>
      <c r="I136" s="6">
        <v>2018.7499999999986</v>
      </c>
      <c r="J136" s="6">
        <v>2042.7799999999986</v>
      </c>
      <c r="K136" s="6">
        <v>2063.9599999999987</v>
      </c>
      <c r="L136" s="6">
        <v>2083.4299999999985</v>
      </c>
      <c r="M136" s="6">
        <v>2098.5799999999986</v>
      </c>
      <c r="N136" s="6">
        <v>2113.7299999999987</v>
      </c>
      <c r="O136" s="6">
        <v>2126.7799999999988</v>
      </c>
      <c r="P136" s="6">
        <v>2131.9999999999986</v>
      </c>
      <c r="Q136" s="6">
        <v>2131.9999999999986</v>
      </c>
      <c r="R136" s="6">
        <v>2131.9999999999986</v>
      </c>
    </row>
    <row r="137" spans="1:19">
      <c r="B137" s="4" t="s">
        <v>4</v>
      </c>
      <c r="C137" s="6">
        <f>C136*C138/100</f>
        <v>1775.07</v>
      </c>
      <c r="D137" s="6">
        <f>D136*D138/100</f>
        <v>1967.13</v>
      </c>
      <c r="E137" s="6">
        <f t="shared" ref="E137" si="239">E136*E138/100</f>
        <v>1837.8557999999996</v>
      </c>
      <c r="F137" s="6">
        <f t="shared" ref="F137" si="240">F136*F138/100</f>
        <v>1876.6963399999993</v>
      </c>
      <c r="G137" s="6">
        <f t="shared" ref="G137" si="241">G136*G138/100</f>
        <v>1926.6130099999991</v>
      </c>
      <c r="H137" s="6">
        <f t="shared" ref="H137" si="242">H136*H138/100</f>
        <v>1963.5971299999987</v>
      </c>
      <c r="I137" s="6">
        <f t="shared" ref="I137" si="243">I136*I138/100</f>
        <v>2000.5812499999986</v>
      </c>
      <c r="J137" s="6">
        <f t="shared" ref="J137" si="244">J136*J138/100</f>
        <v>2024.3949799999984</v>
      </c>
      <c r="K137" s="6">
        <f t="shared" ref="K137" si="245">K136*K138/100</f>
        <v>2045.3843599999987</v>
      </c>
      <c r="L137" s="6">
        <f t="shared" ref="L137" si="246">L136*L138/100</f>
        <v>2064.6791299999982</v>
      </c>
      <c r="M137" s="6">
        <f t="shared" ref="M137" si="247">M136*M138/100</f>
        <v>2079.6927799999985</v>
      </c>
      <c r="N137" s="6">
        <f t="shared" ref="N137" si="248">N136*N138/100</f>
        <v>2096.8201599999989</v>
      </c>
      <c r="O137" s="6">
        <f t="shared" ref="O137" si="249">O136*O138/100</f>
        <v>2109.7657599999989</v>
      </c>
      <c r="P137" s="6">
        <f t="shared" ref="P137" si="250">P136*P138/100</f>
        <v>2114.9439999999986</v>
      </c>
      <c r="Q137" s="6">
        <f t="shared" ref="Q137" si="251">Q136*Q138/100</f>
        <v>2114.9439999999986</v>
      </c>
      <c r="R137" s="6">
        <f t="shared" ref="R137" si="252">R136*R138/100</f>
        <v>2114.9439999999986</v>
      </c>
    </row>
    <row r="138" spans="1:19">
      <c r="B138" s="4" t="s">
        <v>5</v>
      </c>
      <c r="C138" s="6">
        <v>99</v>
      </c>
      <c r="D138" s="6">
        <v>99</v>
      </c>
      <c r="E138" s="6">
        <v>99</v>
      </c>
      <c r="F138" s="6">
        <v>99.1</v>
      </c>
      <c r="G138" s="6">
        <v>99.1</v>
      </c>
      <c r="H138" s="6">
        <v>99.1</v>
      </c>
      <c r="I138" s="6">
        <v>99.1</v>
      </c>
      <c r="J138" s="6">
        <v>99.1</v>
      </c>
      <c r="K138" s="6">
        <v>99.1</v>
      </c>
      <c r="L138" s="6">
        <v>99.1</v>
      </c>
      <c r="M138" s="6">
        <v>99.1</v>
      </c>
      <c r="N138" s="6">
        <v>99.2</v>
      </c>
      <c r="O138" s="6">
        <v>99.2</v>
      </c>
      <c r="P138" s="6">
        <v>99.2</v>
      </c>
      <c r="Q138" s="6">
        <v>99.2</v>
      </c>
      <c r="R138" s="6">
        <v>99.2</v>
      </c>
    </row>
    <row r="139" spans="1:19">
      <c r="B139" s="4" t="s">
        <v>6</v>
      </c>
      <c r="C139" s="3">
        <f>C143/C137*1000</f>
        <v>124.39757922724405</v>
      </c>
      <c r="D139" s="3">
        <f>D143/D137*1000</f>
        <v>105.68745273780056</v>
      </c>
      <c r="E139" s="3">
        <f>E143/E137*1000</f>
        <v>119.59949732413946</v>
      </c>
      <c r="F139" s="3">
        <f>+E139+0.8</f>
        <v>120.39949732413946</v>
      </c>
      <c r="G139" s="3">
        <f t="shared" ref="G139:R139" si="253">+F139+0.8</f>
        <v>121.19949732413946</v>
      </c>
      <c r="H139" s="3">
        <f t="shared" si="253"/>
        <v>121.99949732413945</v>
      </c>
      <c r="I139" s="3">
        <f t="shared" si="253"/>
        <v>122.79949732413945</v>
      </c>
      <c r="J139" s="3">
        <f t="shared" si="253"/>
        <v>123.59949732413945</v>
      </c>
      <c r="K139" s="3">
        <f t="shared" si="253"/>
        <v>124.39949732413945</v>
      </c>
      <c r="L139" s="3">
        <f t="shared" si="253"/>
        <v>125.19949732413944</v>
      </c>
      <c r="M139" s="3">
        <f t="shared" si="253"/>
        <v>125.99949732413944</v>
      </c>
      <c r="N139" s="3">
        <f t="shared" si="253"/>
        <v>126.79949732413944</v>
      </c>
      <c r="O139" s="3">
        <f t="shared" si="253"/>
        <v>127.59949732413943</v>
      </c>
      <c r="P139" s="3">
        <f t="shared" si="253"/>
        <v>128.39949732413945</v>
      </c>
      <c r="Q139" s="3">
        <f t="shared" si="253"/>
        <v>129.19949732413946</v>
      </c>
      <c r="R139" s="3">
        <f t="shared" si="253"/>
        <v>129.99949732413947</v>
      </c>
    </row>
    <row r="140" spans="1:19" ht="15.6">
      <c r="B140" s="4" t="s">
        <v>7</v>
      </c>
      <c r="C140" s="10">
        <f>+C142+C144</f>
        <v>81582.559999999998</v>
      </c>
      <c r="D140" s="10">
        <f>+D142+D144</f>
        <v>76960.75</v>
      </c>
      <c r="E140" s="10">
        <f t="shared" ref="E140" si="254">+E142+E144</f>
        <v>81421.215469613264</v>
      </c>
      <c r="F140" s="10">
        <f t="shared" ref="F140:R140" si="255">+F142+F144</f>
        <v>84037.757246598951</v>
      </c>
      <c r="G140" s="10">
        <f t="shared" si="255"/>
        <v>86687.029966492933</v>
      </c>
      <c r="H140" s="10">
        <f t="shared" si="255"/>
        <v>89263.6199245998</v>
      </c>
      <c r="I140" s="10">
        <f t="shared" si="255"/>
        <v>91632.315859848153</v>
      </c>
      <c r="J140" s="10">
        <f t="shared" si="255"/>
        <v>93686.023261923765</v>
      </c>
      <c r="K140" s="10">
        <f t="shared" si="255"/>
        <v>95362.19916797553</v>
      </c>
      <c r="L140" s="10">
        <f t="shared" si="255"/>
        <v>97224.832263407952</v>
      </c>
      <c r="M140" s="10">
        <f t="shared" si="255"/>
        <v>98901.337033870179</v>
      </c>
      <c r="N140" s="10">
        <f t="shared" si="255"/>
        <v>100693.97348558204</v>
      </c>
      <c r="O140" s="10">
        <f t="shared" si="255"/>
        <v>102013.65082535075</v>
      </c>
      <c r="P140" s="10">
        <f t="shared" si="255"/>
        <v>103251.9848730244</v>
      </c>
      <c r="Q140" s="10">
        <f t="shared" si="255"/>
        <v>104249.14852102441</v>
      </c>
      <c r="R140" s="10">
        <f t="shared" si="255"/>
        <v>105534.65822976148</v>
      </c>
    </row>
    <row r="141" spans="1:19" ht="15.6">
      <c r="B141" s="4" t="s">
        <v>8</v>
      </c>
      <c r="C141" s="6">
        <f t="shared" ref="C141:P141" si="256">C143+C145</f>
        <v>223.51386301369863</v>
      </c>
      <c r="D141" s="6">
        <f t="shared" si="256"/>
        <v>210.85136986301373</v>
      </c>
      <c r="E141" s="6">
        <f>E140/365</f>
        <v>223.0718232044199</v>
      </c>
      <c r="F141" s="6">
        <f t="shared" si="256"/>
        <v>229.61135859726491</v>
      </c>
      <c r="G141" s="6">
        <f t="shared" si="256"/>
        <v>237.49871223696695</v>
      </c>
      <c r="H141" s="6">
        <f t="shared" si="256"/>
        <v>244.55786280712275</v>
      </c>
      <c r="I141" s="6">
        <f t="shared" si="256"/>
        <v>251.04744071191274</v>
      </c>
      <c r="J141" s="6">
        <f t="shared" si="256"/>
        <v>255.97274115279714</v>
      </c>
      <c r="K141" s="6">
        <f t="shared" si="256"/>
        <v>260.5691900870051</v>
      </c>
      <c r="L141" s="6">
        <f t="shared" si="256"/>
        <v>265.66119307998991</v>
      </c>
      <c r="M141" s="6">
        <f t="shared" si="256"/>
        <v>270.24464873699048</v>
      </c>
      <c r="N141" s="6">
        <f t="shared" si="256"/>
        <v>275.12014613547007</v>
      </c>
      <c r="O141" s="6">
        <f t="shared" si="256"/>
        <v>279.48945431602948</v>
      </c>
      <c r="P141" s="6">
        <f t="shared" si="256"/>
        <v>282.88215033705313</v>
      </c>
      <c r="Q141" s="6">
        <f>Q143+Q145</f>
        <v>285.61410553705321</v>
      </c>
      <c r="R141" s="6">
        <f>R143+R145</f>
        <v>288.34606073705322</v>
      </c>
    </row>
    <row r="142" spans="1:19" ht="15.6">
      <c r="B142" s="4" t="s">
        <v>9</v>
      </c>
      <c r="C142" s="6">
        <v>80597.259999999995</v>
      </c>
      <c r="D142" s="6">
        <v>75883.850000000006</v>
      </c>
      <c r="E142" s="6">
        <f>39785/181*365</f>
        <v>80229.419889502766</v>
      </c>
      <c r="F142" s="6">
        <f>F143*366</f>
        <v>82698.906323575124</v>
      </c>
      <c r="G142" s="6">
        <f t="shared" ref="G142:Q142" si="257">G143*365</f>
        <v>85229.152847803707</v>
      </c>
      <c r="H142" s="6">
        <f t="shared" si="257"/>
        <v>87438.6199245998</v>
      </c>
      <c r="I142" s="6">
        <f t="shared" si="257"/>
        <v>89669.68572747591</v>
      </c>
      <c r="J142" s="6">
        <f>J143*366</f>
        <v>91578.39790034508</v>
      </c>
      <c r="K142" s="6">
        <f>K143*366</f>
        <v>93126.791756028295</v>
      </c>
      <c r="L142" s="6">
        <f t="shared" ref="L142" si="258">L143*366</f>
        <v>94609.824851460726</v>
      </c>
      <c r="M142" s="6">
        <f t="shared" ref="M142" si="259">M143*366</f>
        <v>95906.729621922947</v>
      </c>
      <c r="N142" s="6">
        <f t="shared" ref="N142" si="260">N143*366</f>
        <v>97310.521669766473</v>
      </c>
      <c r="O142" s="6">
        <f t="shared" si="257"/>
        <v>98259.84341340352</v>
      </c>
      <c r="P142" s="6">
        <f t="shared" si="257"/>
        <v>99118.577461077177</v>
      </c>
      <c r="Q142" s="6">
        <f t="shared" si="257"/>
        <v>99736.141109077187</v>
      </c>
      <c r="R142" s="6">
        <f>R143*366</f>
        <v>100628.6464139459</v>
      </c>
    </row>
    <row r="143" spans="1:19" ht="15.6">
      <c r="B143" s="4" t="s">
        <v>10</v>
      </c>
      <c r="C143" s="13">
        <f>C142/365</f>
        <v>220.81441095890409</v>
      </c>
      <c r="D143" s="13">
        <f>D142/365</f>
        <v>207.90095890410961</v>
      </c>
      <c r="E143" s="6">
        <f>E142/365</f>
        <v>219.80662983425415</v>
      </c>
      <c r="F143" s="6">
        <f t="shared" ref="F143:R143" si="261">F137*F139/1000</f>
        <v>225.95329596605225</v>
      </c>
      <c r="G143" s="6">
        <f t="shared" si="261"/>
        <v>233.50452835014715</v>
      </c>
      <c r="H143" s="6">
        <f t="shared" si="261"/>
        <v>239.55786280712275</v>
      </c>
      <c r="I143" s="6">
        <f t="shared" si="261"/>
        <v>245.67037185609837</v>
      </c>
      <c r="J143" s="6">
        <f t="shared" si="261"/>
        <v>250.21420191351115</v>
      </c>
      <c r="K143" s="6">
        <f t="shared" si="261"/>
        <v>254.44478621865653</v>
      </c>
      <c r="L143" s="6">
        <f t="shared" si="261"/>
        <v>258.49678921164133</v>
      </c>
      <c r="M143" s="6">
        <f t="shared" si="261"/>
        <v>262.04024486864193</v>
      </c>
      <c r="N143" s="6">
        <f t="shared" si="261"/>
        <v>265.8757422671215</v>
      </c>
      <c r="O143" s="6">
        <f t="shared" si="261"/>
        <v>269.20505044768089</v>
      </c>
      <c r="P143" s="6">
        <f t="shared" si="261"/>
        <v>271.55774646870458</v>
      </c>
      <c r="Q143" s="6">
        <f t="shared" si="261"/>
        <v>273.24970166870463</v>
      </c>
      <c r="R143" s="6">
        <f t="shared" si="261"/>
        <v>274.94165686870463</v>
      </c>
    </row>
    <row r="144" spans="1:19" ht="15.6">
      <c r="B144" s="4" t="s">
        <v>11</v>
      </c>
      <c r="C144" s="13">
        <v>985.3</v>
      </c>
      <c r="D144" s="13">
        <v>1076.9000000000001</v>
      </c>
      <c r="E144" s="6">
        <f>591/181*365</f>
        <v>1191.7955801104972</v>
      </c>
      <c r="F144" s="6">
        <f>F145*366</f>
        <v>1338.850923023828</v>
      </c>
      <c r="G144" s="6">
        <f t="shared" ref="G144:Q144" si="262">G145*365</f>
        <v>1457.8771186892288</v>
      </c>
      <c r="H144" s="6">
        <f t="shared" si="262"/>
        <v>1825</v>
      </c>
      <c r="I144" s="6">
        <f t="shared" si="262"/>
        <v>1962.6301323722441</v>
      </c>
      <c r="J144" s="6">
        <f>J145*366</f>
        <v>2107.6253615786777</v>
      </c>
      <c r="K144" s="6">
        <f t="shared" si="262"/>
        <v>2235.4074119472284</v>
      </c>
      <c r="L144" s="6">
        <f t="shared" si="262"/>
        <v>2615.0074119472283</v>
      </c>
      <c r="M144" s="6">
        <f t="shared" si="262"/>
        <v>2994.6074119472282</v>
      </c>
      <c r="N144" s="6">
        <f t="shared" ref="N144" si="263">N145*366</f>
        <v>3383.4518158155765</v>
      </c>
      <c r="O144" s="6">
        <f t="shared" si="262"/>
        <v>3753.8074119472276</v>
      </c>
      <c r="P144" s="6">
        <f t="shared" si="262"/>
        <v>4133.407411947227</v>
      </c>
      <c r="Q144" s="6">
        <f t="shared" si="262"/>
        <v>4513.0074119472274</v>
      </c>
      <c r="R144" s="6">
        <f>R145*366</f>
        <v>4906.0118158155756</v>
      </c>
    </row>
    <row r="145" spans="1:19" ht="15.6">
      <c r="B145" s="4" t="s">
        <v>12</v>
      </c>
      <c r="C145" s="36">
        <f>C144/365</f>
        <v>2.6994520547945204</v>
      </c>
      <c r="D145" s="36">
        <f>D144/365</f>
        <v>2.9504109589041096</v>
      </c>
      <c r="E145" s="6">
        <f>E144/365</f>
        <v>3.2651933701657456</v>
      </c>
      <c r="F145" s="6">
        <v>3.658062631212645</v>
      </c>
      <c r="G145" s="6">
        <v>3.9941838868198047</v>
      </c>
      <c r="H145" s="6">
        <v>5</v>
      </c>
      <c r="I145" s="6">
        <v>5.3770688558143673</v>
      </c>
      <c r="J145" s="6">
        <v>5.7585392392860051</v>
      </c>
      <c r="K145" s="6">
        <v>6.1244038683485709</v>
      </c>
      <c r="L145" s="6">
        <f>+K145+1.04</f>
        <v>7.1644038683485709</v>
      </c>
      <c r="M145" s="6">
        <f t="shared" ref="M145:R145" si="264">+L145+1.04</f>
        <v>8.2044038683485709</v>
      </c>
      <c r="N145" s="6">
        <f t="shared" si="264"/>
        <v>9.2444038683485701</v>
      </c>
      <c r="O145" s="6">
        <f t="shared" si="264"/>
        <v>10.284403868348569</v>
      </c>
      <c r="P145" s="6">
        <f t="shared" si="264"/>
        <v>11.324403868348568</v>
      </c>
      <c r="Q145" s="6">
        <f t="shared" si="264"/>
        <v>12.364403868348568</v>
      </c>
      <c r="R145" s="6">
        <f t="shared" si="264"/>
        <v>13.404403868348567</v>
      </c>
      <c r="S145" s="32"/>
    </row>
    <row r="146" spans="1:19">
      <c r="B146" s="9"/>
      <c r="C146" s="9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5"/>
      <c r="R146" s="45"/>
    </row>
    <row r="148" spans="1:19" ht="15.6">
      <c r="A148" s="43">
        <v>11</v>
      </c>
      <c r="B148" s="54" t="s">
        <v>39</v>
      </c>
      <c r="C148" s="54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</row>
    <row r="149" spans="1:19">
      <c r="B149" s="2" t="s">
        <v>1</v>
      </c>
      <c r="C149" s="18">
        <v>2021</v>
      </c>
      <c r="D149" s="18">
        <v>2022</v>
      </c>
      <c r="E149" s="18" t="s">
        <v>2</v>
      </c>
      <c r="F149" s="18">
        <v>2024</v>
      </c>
      <c r="G149" s="18">
        <v>2025</v>
      </c>
      <c r="H149" s="18">
        <v>2026</v>
      </c>
      <c r="I149" s="18">
        <v>2027</v>
      </c>
      <c r="J149" s="18">
        <v>2028</v>
      </c>
      <c r="K149" s="18">
        <v>2029</v>
      </c>
      <c r="L149" s="18">
        <v>2030</v>
      </c>
      <c r="M149" s="18">
        <v>2031</v>
      </c>
      <c r="N149" s="18">
        <v>2032</v>
      </c>
      <c r="O149" s="19">
        <v>2033</v>
      </c>
      <c r="P149" s="19">
        <v>2034</v>
      </c>
      <c r="Q149" s="19">
        <v>2035</v>
      </c>
      <c r="R149" s="19">
        <v>2036</v>
      </c>
    </row>
    <row r="150" spans="1:19">
      <c r="B150" s="4" t="s">
        <v>3</v>
      </c>
      <c r="C150" s="4">
        <v>1316</v>
      </c>
      <c r="D150" s="4">
        <v>1290</v>
      </c>
      <c r="E150" s="6">
        <v>1372.9699999999998</v>
      </c>
      <c r="F150" s="6">
        <v>1408.8799999999997</v>
      </c>
      <c r="G150" s="6">
        <v>1446.1399999999996</v>
      </c>
      <c r="H150" s="6">
        <v>1483.3999999999996</v>
      </c>
      <c r="I150" s="6">
        <v>1520.6599999999996</v>
      </c>
      <c r="J150" s="6">
        <v>1557.9199999999996</v>
      </c>
      <c r="K150" s="6">
        <v>1588.4299999999996</v>
      </c>
      <c r="L150" s="6">
        <v>1617.5899999999995</v>
      </c>
      <c r="M150" s="6">
        <v>1646.7499999999993</v>
      </c>
      <c r="N150" s="6">
        <v>1664.2099999999991</v>
      </c>
      <c r="O150" s="6">
        <v>1680.319999999999</v>
      </c>
      <c r="P150" s="6">
        <v>1682.6599999999989</v>
      </c>
      <c r="Q150" s="6">
        <v>1684.9999999999989</v>
      </c>
      <c r="R150" s="6">
        <v>1684.9999999999989</v>
      </c>
    </row>
    <row r="151" spans="1:19">
      <c r="B151" s="4" t="s">
        <v>4</v>
      </c>
      <c r="C151" s="6">
        <f>C150*C152/100</f>
        <v>1276.52</v>
      </c>
      <c r="D151" s="6">
        <f>D150*D152/100</f>
        <v>1251.3</v>
      </c>
      <c r="E151" s="6">
        <v>1265</v>
      </c>
      <c r="F151" s="6">
        <f t="shared" ref="F151" si="265">F150*F152/100</f>
        <v>1369.4313599999996</v>
      </c>
      <c r="G151" s="6">
        <f t="shared" ref="G151" si="266">G150*G152/100</f>
        <v>1407.0942199999997</v>
      </c>
      <c r="H151" s="6">
        <f t="shared" ref="H151" si="267">H150*H152/100</f>
        <v>1443.3481999999995</v>
      </c>
      <c r="I151" s="6">
        <f t="shared" ref="I151" si="268">I150*I152/100</f>
        <v>1481.1228399999998</v>
      </c>
      <c r="J151" s="6">
        <f t="shared" ref="J151" si="269">J150*J152/100</f>
        <v>1518.9719999999995</v>
      </c>
      <c r="K151" s="6">
        <f t="shared" ref="K151" si="270">K150*K152/100</f>
        <v>1548.7192499999996</v>
      </c>
      <c r="L151" s="6">
        <f t="shared" ref="L151" si="271">L150*L152/100</f>
        <v>1578.7678399999993</v>
      </c>
      <c r="M151" s="6">
        <f t="shared" ref="M151" si="272">M150*M152/100</f>
        <v>1607.2279999999994</v>
      </c>
      <c r="N151" s="6">
        <f t="shared" ref="N151" si="273">N150*N152/100</f>
        <v>1624.268959999999</v>
      </c>
      <c r="O151" s="6">
        <f t="shared" ref="O151" si="274">O150*O152/100</f>
        <v>1641.6726399999991</v>
      </c>
      <c r="P151" s="6">
        <f t="shared" ref="P151" si="275">P150*P152/100</f>
        <v>1643.9588199999989</v>
      </c>
      <c r="Q151" s="6">
        <f t="shared" ref="Q151" si="276">Q150*Q152/100</f>
        <v>1646.2449999999988</v>
      </c>
      <c r="R151" s="6">
        <f t="shared" ref="R151" si="277">R150*R152/100</f>
        <v>1646.2449999999988</v>
      </c>
    </row>
    <row r="152" spans="1:19">
      <c r="B152" s="4" t="s">
        <v>5</v>
      </c>
      <c r="C152" s="6">
        <v>97</v>
      </c>
      <c r="D152" s="6">
        <v>97</v>
      </c>
      <c r="E152" s="6">
        <v>97.1</v>
      </c>
      <c r="F152" s="6">
        <v>97.2</v>
      </c>
      <c r="G152" s="6">
        <v>97.3</v>
      </c>
      <c r="H152" s="6">
        <v>97.3</v>
      </c>
      <c r="I152" s="6">
        <v>97.4</v>
      </c>
      <c r="J152" s="6">
        <v>97.5</v>
      </c>
      <c r="K152" s="6">
        <v>97.5</v>
      </c>
      <c r="L152" s="6">
        <v>97.6</v>
      </c>
      <c r="M152" s="6">
        <v>97.6</v>
      </c>
      <c r="N152" s="6">
        <v>97.6</v>
      </c>
      <c r="O152" s="6">
        <v>97.7</v>
      </c>
      <c r="P152" s="6">
        <v>97.7</v>
      </c>
      <c r="Q152" s="6">
        <v>97.7</v>
      </c>
      <c r="R152" s="6">
        <v>97.7</v>
      </c>
    </row>
    <row r="153" spans="1:19">
      <c r="B153" s="4" t="s">
        <v>6</v>
      </c>
      <c r="C153" s="3">
        <f>C157/C151*1000</f>
        <v>111.40637495176311</v>
      </c>
      <c r="D153" s="3">
        <f>D157/D151*1000</f>
        <v>108.14795352559366</v>
      </c>
      <c r="E153" s="3">
        <f>E157/E151*1000</f>
        <v>107.89858712030222</v>
      </c>
      <c r="F153" s="3">
        <v>113.52000025934761</v>
      </c>
      <c r="G153" s="3">
        <v>114.01846177785933</v>
      </c>
      <c r="H153" s="3">
        <v>114.51692329637105</v>
      </c>
      <c r="I153" s="3">
        <v>115.01538481488276</v>
      </c>
      <c r="J153" s="3">
        <v>115.51384633339448</v>
      </c>
      <c r="K153" s="3">
        <v>116.0123078519062</v>
      </c>
      <c r="L153" s="3">
        <v>116.51076937041792</v>
      </c>
      <c r="M153" s="3">
        <v>117.00923088892964</v>
      </c>
      <c r="N153" s="3">
        <v>117.50769240744135</v>
      </c>
      <c r="O153" s="3">
        <v>118.00615392595307</v>
      </c>
      <c r="P153" s="3">
        <v>118.50461544446479</v>
      </c>
      <c r="Q153" s="3">
        <v>119.00307696297651</v>
      </c>
      <c r="R153" s="3">
        <v>119.50153848148823</v>
      </c>
    </row>
    <row r="154" spans="1:19" ht="15.6">
      <c r="B154" s="4" t="s">
        <v>7</v>
      </c>
      <c r="C154" s="10">
        <f>+C156+C158</f>
        <v>76030.55</v>
      </c>
      <c r="D154" s="10">
        <f>+D156+D158</f>
        <v>75639.09</v>
      </c>
      <c r="E154" s="10">
        <f t="shared" ref="E154" si="278">+E156+E158</f>
        <v>76898.03867403316</v>
      </c>
      <c r="F154" s="10">
        <f>F155*365</f>
        <v>83752.114644960937</v>
      </c>
      <c r="G154" s="10">
        <f t="shared" ref="G154" si="279">G155*365</f>
        <v>85568.672267434609</v>
      </c>
      <c r="H154" s="10">
        <f t="shared" ref="H154" si="280">H155*365</f>
        <v>87340.045214914629</v>
      </c>
      <c r="I154" s="10">
        <f t="shared" ref="I154" si="281">I155*365</f>
        <v>89845.448391259895</v>
      </c>
      <c r="J154" s="10">
        <f t="shared" ref="J154" si="282">J155*365</f>
        <v>92367.738840346021</v>
      </c>
      <c r="K154" s="10">
        <f t="shared" ref="K154" si="283">K155*365</f>
        <v>94560.730458618229</v>
      </c>
      <c r="L154" s="10">
        <f t="shared" ref="L154" si="284">L155*365</f>
        <v>96777.361328920553</v>
      </c>
      <c r="M154" s="10">
        <f t="shared" ref="M154" si="285">M155*365</f>
        <v>98937.086932250662</v>
      </c>
      <c r="N154" s="10">
        <f t="shared" ref="N154" si="286">N155*365</f>
        <v>100617.3955286016</v>
      </c>
      <c r="O154" s="10">
        <f t="shared" ref="O154" si="287">O155*365</f>
        <v>102319.52810193095</v>
      </c>
      <c r="P154" s="10">
        <f t="shared" ref="P154" si="288">P155*365</f>
        <v>113083.09833628213</v>
      </c>
      <c r="Q154" s="10">
        <f t="shared" ref="Q154" si="289">Q155*365</f>
        <v>122606.50045874402</v>
      </c>
      <c r="R154" s="10">
        <f t="shared" ref="R154" si="290">R155*365</f>
        <v>132031.01572937195</v>
      </c>
    </row>
    <row r="155" spans="1:19" ht="15.6">
      <c r="B155" s="4" t="s">
        <v>8</v>
      </c>
      <c r="C155" s="6">
        <f t="shared" ref="C155:D155" si="291">C157+C159</f>
        <v>208.30287671232878</v>
      </c>
      <c r="D155" s="6">
        <f t="shared" si="291"/>
        <v>207.23038356164381</v>
      </c>
      <c r="E155" s="6">
        <f>E154/365</f>
        <v>210.67955801104975</v>
      </c>
      <c r="F155" s="6">
        <f>F157+F159+F160</f>
        <v>229.45784834235872</v>
      </c>
      <c r="G155" s="6">
        <f t="shared" ref="G155:R155" si="292">G157+G159+G160</f>
        <v>234.43471854091675</v>
      </c>
      <c r="H155" s="6">
        <f t="shared" si="292"/>
        <v>239.28779510935516</v>
      </c>
      <c r="I155" s="6">
        <f t="shared" si="292"/>
        <v>246.15191340071203</v>
      </c>
      <c r="J155" s="6">
        <f t="shared" si="292"/>
        <v>253.06229819272883</v>
      </c>
      <c r="K155" s="6">
        <f t="shared" si="292"/>
        <v>259.07049440717321</v>
      </c>
      <c r="L155" s="6">
        <f t="shared" si="292"/>
        <v>265.14345569567274</v>
      </c>
      <c r="M155" s="6">
        <f t="shared" si="292"/>
        <v>271.06051214315249</v>
      </c>
      <c r="N155" s="6">
        <f t="shared" si="292"/>
        <v>275.66409733863452</v>
      </c>
      <c r="O155" s="6">
        <f t="shared" si="292"/>
        <v>280.32747425186562</v>
      </c>
      <c r="P155" s="6">
        <f t="shared" si="292"/>
        <v>309.81670777063596</v>
      </c>
      <c r="Q155" s="6">
        <f t="shared" si="292"/>
        <v>335.90822043491511</v>
      </c>
      <c r="R155" s="6">
        <f t="shared" si="292"/>
        <v>361.72881021745741</v>
      </c>
    </row>
    <row r="156" spans="1:19" ht="15.6">
      <c r="B156" s="4" t="s">
        <v>9</v>
      </c>
      <c r="C156" s="6">
        <v>51907.55</v>
      </c>
      <c r="D156" s="6">
        <v>49393.819999999992</v>
      </c>
      <c r="E156" s="6">
        <f>24705/181*365</f>
        <v>49819.475138121554</v>
      </c>
      <c r="F156" s="6">
        <f>F157*366</f>
        <v>56897.572493303291</v>
      </c>
      <c r="G156" s="6">
        <f t="shared" ref="G156:Q156" si="293">G157*365</f>
        <v>58558.672267434617</v>
      </c>
      <c r="H156" s="6">
        <f t="shared" si="293"/>
        <v>60330.045214914629</v>
      </c>
      <c r="I156" s="6">
        <f t="shared" si="293"/>
        <v>62178.448391259888</v>
      </c>
      <c r="J156" s="6">
        <f>J157*366</f>
        <v>64219.201138538752</v>
      </c>
      <c r="K156" s="6">
        <f>K157*366</f>
        <v>65759.400953025412</v>
      </c>
      <c r="L156" s="6">
        <f t="shared" ref="L156" si="294">L157*366</f>
        <v>67323.304784616237</v>
      </c>
      <c r="M156" s="6">
        <f t="shared" ref="M156" si="295">M157*366</f>
        <v>68830.14744439382</v>
      </c>
      <c r="N156" s="6">
        <f t="shared" ref="N156" si="296">N157*366</f>
        <v>69856.259625940234</v>
      </c>
      <c r="O156" s="6">
        <f t="shared" si="293"/>
        <v>70710.528101930948</v>
      </c>
      <c r="P156" s="6">
        <f t="shared" si="293"/>
        <v>71108.098336282128</v>
      </c>
      <c r="Q156" s="6">
        <f t="shared" si="293"/>
        <v>71506.50045874402</v>
      </c>
      <c r="R156" s="6">
        <f>R157*366</f>
        <v>72002.744539589417</v>
      </c>
    </row>
    <row r="157" spans="1:19" ht="15.6">
      <c r="B157" s="4" t="s">
        <v>10</v>
      </c>
      <c r="C157" s="13">
        <f>C156/365</f>
        <v>142.21246575342465</v>
      </c>
      <c r="D157" s="13">
        <f>D156/365</f>
        <v>135.32553424657533</v>
      </c>
      <c r="E157" s="6">
        <f>E156/365</f>
        <v>136.49171270718233</v>
      </c>
      <c r="F157" s="6">
        <f t="shared" ref="F157:R157" si="297">F151*F153/1000</f>
        <v>155.45784834235872</v>
      </c>
      <c r="G157" s="6">
        <f t="shared" si="297"/>
        <v>160.43471854091675</v>
      </c>
      <c r="H157" s="6">
        <f t="shared" si="297"/>
        <v>165.28779510935516</v>
      </c>
      <c r="I157" s="6">
        <f t="shared" si="297"/>
        <v>170.35191340071202</v>
      </c>
      <c r="J157" s="6">
        <f t="shared" si="297"/>
        <v>175.46229819272884</v>
      </c>
      <c r="K157" s="6">
        <f t="shared" si="297"/>
        <v>179.67049440717324</v>
      </c>
      <c r="L157" s="6">
        <f t="shared" si="297"/>
        <v>183.94345569567278</v>
      </c>
      <c r="M157" s="6">
        <f t="shared" si="297"/>
        <v>188.06051214315252</v>
      </c>
      <c r="N157" s="6">
        <f t="shared" si="297"/>
        <v>190.86409733863454</v>
      </c>
      <c r="O157" s="6">
        <f t="shared" si="297"/>
        <v>193.72747425186563</v>
      </c>
      <c r="P157" s="6">
        <f t="shared" si="297"/>
        <v>194.81670777063599</v>
      </c>
      <c r="Q157" s="6">
        <f t="shared" si="297"/>
        <v>195.90822043491511</v>
      </c>
      <c r="R157" s="6">
        <f t="shared" si="297"/>
        <v>196.72881021745744</v>
      </c>
    </row>
    <row r="158" spans="1:19" ht="15.6">
      <c r="B158" s="4" t="s">
        <v>11</v>
      </c>
      <c r="C158" s="13">
        <v>24123</v>
      </c>
      <c r="D158" s="13">
        <v>26245.27</v>
      </c>
      <c r="E158" s="6">
        <f>13428/181*365</f>
        <v>27078.563535911602</v>
      </c>
      <c r="F158" s="6">
        <f>F159*366</f>
        <v>27084</v>
      </c>
      <c r="G158" s="6">
        <f t="shared" ref="G158:Q158" si="298">G159*365</f>
        <v>27010</v>
      </c>
      <c r="H158" s="6">
        <f t="shared" si="298"/>
        <v>27010</v>
      </c>
      <c r="I158" s="6">
        <f t="shared" si="298"/>
        <v>27667</v>
      </c>
      <c r="J158" s="6">
        <f>J159*366</f>
        <v>28401.599999999999</v>
      </c>
      <c r="K158" s="6">
        <f t="shared" si="298"/>
        <v>28980.999999999996</v>
      </c>
      <c r="L158" s="6">
        <f t="shared" si="298"/>
        <v>29637.999999999996</v>
      </c>
      <c r="M158" s="6">
        <f t="shared" si="298"/>
        <v>30294.999999999996</v>
      </c>
      <c r="N158" s="6">
        <f t="shared" ref="N158" si="299">N159*366</f>
        <v>31036.799999999992</v>
      </c>
      <c r="O158" s="6">
        <f t="shared" si="298"/>
        <v>31608.999999999993</v>
      </c>
      <c r="P158" s="6">
        <f t="shared" si="298"/>
        <v>32850</v>
      </c>
      <c r="Q158" s="6">
        <f t="shared" si="298"/>
        <v>41975</v>
      </c>
      <c r="R158" s="6">
        <f>R159*366</f>
        <v>51240</v>
      </c>
    </row>
    <row r="159" spans="1:19" ht="15.6">
      <c r="B159" s="4" t="s">
        <v>12</v>
      </c>
      <c r="C159" s="36">
        <f>C158/365</f>
        <v>66.090410958904116</v>
      </c>
      <c r="D159" s="36">
        <f>D158/365</f>
        <v>71.904849315068489</v>
      </c>
      <c r="E159" s="6">
        <f>E158/365</f>
        <v>74.187845303867405</v>
      </c>
      <c r="F159" s="6">
        <v>74</v>
      </c>
      <c r="G159" s="6">
        <v>74</v>
      </c>
      <c r="H159" s="6">
        <v>74</v>
      </c>
      <c r="I159" s="6">
        <f>+H159+1.8</f>
        <v>75.8</v>
      </c>
      <c r="J159" s="6">
        <f t="shared" ref="J159:O159" si="300">+I159+1.8</f>
        <v>77.599999999999994</v>
      </c>
      <c r="K159" s="6">
        <f t="shared" si="300"/>
        <v>79.399999999999991</v>
      </c>
      <c r="L159" s="6">
        <f t="shared" si="300"/>
        <v>81.199999999999989</v>
      </c>
      <c r="M159" s="6">
        <f t="shared" si="300"/>
        <v>82.999999999999986</v>
      </c>
      <c r="N159" s="6">
        <f t="shared" si="300"/>
        <v>84.799999999999983</v>
      </c>
      <c r="O159" s="6">
        <f t="shared" si="300"/>
        <v>86.59999999999998</v>
      </c>
      <c r="P159" s="6">
        <v>90</v>
      </c>
      <c r="Q159" s="6">
        <v>115</v>
      </c>
      <c r="R159" s="6">
        <v>140</v>
      </c>
      <c r="S159" s="32"/>
    </row>
    <row r="160" spans="1:19" ht="28.9">
      <c r="B160" s="4" t="s">
        <v>13</v>
      </c>
      <c r="C160" s="6"/>
      <c r="D160" s="6"/>
      <c r="E160" s="6"/>
      <c r="F160" s="6"/>
      <c r="G160" s="6"/>
      <c r="H160" s="6"/>
      <c r="I160" s="6"/>
      <c r="J160" s="13"/>
      <c r="K160" s="13"/>
      <c r="L160" s="13"/>
      <c r="M160" s="13"/>
      <c r="N160" s="13"/>
      <c r="O160" s="13"/>
      <c r="P160" s="13">
        <v>25</v>
      </c>
      <c r="Q160" s="13">
        <v>25</v>
      </c>
      <c r="R160" s="13">
        <v>25</v>
      </c>
      <c r="S160" s="32"/>
    </row>
    <row r="161" spans="1:19"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5"/>
      <c r="R161" s="45"/>
    </row>
    <row r="163" spans="1:19" ht="15.6">
      <c r="A163" s="43">
        <v>12</v>
      </c>
      <c r="B163" s="54" t="s">
        <v>40</v>
      </c>
      <c r="C163" s="54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</row>
    <row r="164" spans="1:19">
      <c r="B164" s="2" t="s">
        <v>1</v>
      </c>
      <c r="C164" s="18">
        <v>2021</v>
      </c>
      <c r="D164" s="18">
        <v>2022</v>
      </c>
      <c r="E164" s="18" t="s">
        <v>2</v>
      </c>
      <c r="F164" s="18">
        <v>2024</v>
      </c>
      <c r="G164" s="18">
        <v>2025</v>
      </c>
      <c r="H164" s="18">
        <v>2026</v>
      </c>
      <c r="I164" s="18">
        <v>2027</v>
      </c>
      <c r="J164" s="18">
        <v>2028</v>
      </c>
      <c r="K164" s="18">
        <v>2029</v>
      </c>
      <c r="L164" s="18">
        <v>2030</v>
      </c>
      <c r="M164" s="18">
        <v>2031</v>
      </c>
      <c r="N164" s="18">
        <v>2032</v>
      </c>
      <c r="O164" s="19">
        <v>2033</v>
      </c>
      <c r="P164" s="19">
        <v>2034</v>
      </c>
      <c r="Q164" s="19">
        <v>2035</v>
      </c>
      <c r="R164" s="19">
        <v>2036</v>
      </c>
    </row>
    <row r="165" spans="1:19">
      <c r="B165" s="4" t="s">
        <v>3</v>
      </c>
      <c r="C165" s="4">
        <v>2014</v>
      </c>
      <c r="D165" s="4">
        <v>1918</v>
      </c>
      <c r="E165" s="6">
        <v>2093.9500000000003</v>
      </c>
      <c r="F165" s="6">
        <v>2169.4900000000007</v>
      </c>
      <c r="G165" s="6">
        <v>2271.5500000000011</v>
      </c>
      <c r="H165" s="6">
        <v>2373.6100000000015</v>
      </c>
      <c r="I165" s="6">
        <v>2471.260000000002</v>
      </c>
      <c r="J165" s="6">
        <v>2564.5000000000023</v>
      </c>
      <c r="K165" s="6">
        <v>2640.1000000000026</v>
      </c>
      <c r="L165" s="6">
        <v>2698.0000000000027</v>
      </c>
      <c r="M165" s="6">
        <v>2747.0200000000027</v>
      </c>
      <c r="N165" s="6">
        <v>2791.6000000000026</v>
      </c>
      <c r="O165" s="6">
        <v>2831.4400000000023</v>
      </c>
      <c r="P165" s="6">
        <v>2849.0800000000022</v>
      </c>
      <c r="Q165" s="6">
        <v>2866.7200000000021</v>
      </c>
      <c r="R165" s="6">
        <v>2884.3600000000019</v>
      </c>
    </row>
    <row r="166" spans="1:19">
      <c r="B166" s="4" t="s">
        <v>4</v>
      </c>
      <c r="C166" s="6">
        <f>C165*C167/100</f>
        <v>1852.88</v>
      </c>
      <c r="D166" s="6">
        <f>D165*D167/100</f>
        <v>1764.56</v>
      </c>
      <c r="E166" s="6">
        <v>1840</v>
      </c>
      <c r="F166" s="6">
        <f t="shared" ref="F166" si="301">F165*F167/100</f>
        <v>2008.9477400000005</v>
      </c>
      <c r="G166" s="6">
        <f t="shared" ref="G166" si="302">G165*G167/100</f>
        <v>2110.2699500000012</v>
      </c>
      <c r="H166" s="6">
        <f t="shared" ref="H166" si="303">H165*H167/100</f>
        <v>2212.2045200000011</v>
      </c>
      <c r="I166" s="6">
        <f t="shared" ref="I166" si="304">I165*I167/100</f>
        <v>2322.9844000000016</v>
      </c>
      <c r="J166" s="6">
        <f t="shared" ref="J166" si="305">J165*J167/100</f>
        <v>2410.6300000000019</v>
      </c>
      <c r="K166" s="6">
        <f t="shared" ref="K166" si="306">K165*K167/100</f>
        <v>2481.6940000000027</v>
      </c>
      <c r="L166" s="6">
        <f t="shared" ref="L166" si="307">L165*L167/100</f>
        <v>2536.1200000000026</v>
      </c>
      <c r="M166" s="6">
        <f t="shared" ref="M166" si="308">M165*M167/100</f>
        <v>2582.1988000000028</v>
      </c>
      <c r="N166" s="6">
        <f t="shared" ref="N166" si="309">N165*N167/100</f>
        <v>2624.1040000000025</v>
      </c>
      <c r="O166" s="6">
        <f t="shared" ref="O166" si="310">O165*O167/100</f>
        <v>2661.553600000002</v>
      </c>
      <c r="P166" s="6">
        <f t="shared" ref="P166" si="311">P165*P167/100</f>
        <v>2678.135200000002</v>
      </c>
      <c r="Q166" s="6">
        <f t="shared" ref="Q166" si="312">Q165*Q167/100</f>
        <v>2694.7168000000015</v>
      </c>
      <c r="R166" s="6">
        <f t="shared" ref="R166" si="313">R165*R167/100</f>
        <v>2711.2984000000019</v>
      </c>
    </row>
    <row r="167" spans="1:19">
      <c r="B167" s="4" t="s">
        <v>5</v>
      </c>
      <c r="C167" s="6">
        <v>92</v>
      </c>
      <c r="D167" s="6">
        <v>92</v>
      </c>
      <c r="E167" s="6">
        <v>92.3</v>
      </c>
      <c r="F167" s="6">
        <v>92.6</v>
      </c>
      <c r="G167" s="6">
        <v>92.9</v>
      </c>
      <c r="H167" s="6">
        <v>93.2</v>
      </c>
      <c r="I167" s="6">
        <v>94</v>
      </c>
      <c r="J167" s="6">
        <v>94</v>
      </c>
      <c r="K167" s="6">
        <v>94</v>
      </c>
      <c r="L167" s="6">
        <v>94</v>
      </c>
      <c r="M167" s="6">
        <v>94</v>
      </c>
      <c r="N167" s="6">
        <v>94</v>
      </c>
      <c r="O167" s="6">
        <v>94</v>
      </c>
      <c r="P167" s="6">
        <v>94</v>
      </c>
      <c r="Q167" s="6">
        <v>94</v>
      </c>
      <c r="R167" s="6">
        <v>94</v>
      </c>
    </row>
    <row r="168" spans="1:19">
      <c r="B168" s="4" t="s">
        <v>6</v>
      </c>
      <c r="C168" s="3">
        <f>C172/C166*1000</f>
        <v>109.45139532504156</v>
      </c>
      <c r="D168" s="3">
        <f>D172/D166*1000</f>
        <v>110.44274454542125</v>
      </c>
      <c r="E168" s="3">
        <f>E172/E166*1000</f>
        <v>110.81852029786214</v>
      </c>
      <c r="F168" s="3">
        <v>113.52000025934761</v>
      </c>
      <c r="G168" s="3">
        <v>114.01846177785933</v>
      </c>
      <c r="H168" s="3">
        <v>114.51692329637105</v>
      </c>
      <c r="I168" s="3">
        <v>115.01538481488276</v>
      </c>
      <c r="J168" s="3">
        <v>115.51384633339448</v>
      </c>
      <c r="K168" s="3">
        <v>116.0123078519062</v>
      </c>
      <c r="L168" s="3">
        <v>116.51076937041792</v>
      </c>
      <c r="M168" s="3">
        <v>117.00923088892964</v>
      </c>
      <c r="N168" s="3">
        <v>117.50769240744135</v>
      </c>
      <c r="O168" s="3">
        <v>118.00615392595307</v>
      </c>
      <c r="P168" s="3">
        <v>119</v>
      </c>
      <c r="Q168" s="3">
        <v>119</v>
      </c>
      <c r="R168" s="3">
        <v>120</v>
      </c>
    </row>
    <row r="169" spans="1:19" ht="15.6">
      <c r="B169" s="4" t="s">
        <v>7</v>
      </c>
      <c r="C169" s="10">
        <f>+C171+C173</f>
        <v>75401.009999999995</v>
      </c>
      <c r="D169" s="10">
        <f>+D171+D173</f>
        <v>72782.100000000006</v>
      </c>
      <c r="E169" s="10">
        <f t="shared" ref="E169" si="314">+E171+E173</f>
        <v>76454.392265193383</v>
      </c>
      <c r="F169" s="10">
        <f t="shared" ref="F169:R169" si="315">+F171+F173</f>
        <v>87128.403755488602</v>
      </c>
      <c r="G169" s="10">
        <f t="shared" si="315"/>
        <v>91837.5527767897</v>
      </c>
      <c r="H169" s="10">
        <f t="shared" si="315"/>
        <v>97212.222196444796</v>
      </c>
      <c r="I169" s="10">
        <f t="shared" si="315"/>
        <v>102995.31481001395</v>
      </c>
      <c r="J169" s="10">
        <f t="shared" si="315"/>
        <v>108138.77847952158</v>
      </c>
      <c r="K169" s="10">
        <f t="shared" si="315"/>
        <v>112308.97968593576</v>
      </c>
      <c r="L169" s="10">
        <f t="shared" si="315"/>
        <v>115812.61702414787</v>
      </c>
      <c r="M169" s="10">
        <f t="shared" si="315"/>
        <v>118978.64098605615</v>
      </c>
      <c r="N169" s="10">
        <f t="shared" si="315"/>
        <v>122006.98047783207</v>
      </c>
      <c r="O169" s="10">
        <f t="shared" si="315"/>
        <v>124494.09188837781</v>
      </c>
      <c r="P169" s="10">
        <f t="shared" si="315"/>
        <v>126909.80241200011</v>
      </c>
      <c r="Q169" s="10">
        <f t="shared" si="315"/>
        <v>128360.02420800008</v>
      </c>
      <c r="R169" s="10">
        <f t="shared" si="315"/>
        <v>131158.22572800011</v>
      </c>
    </row>
    <row r="170" spans="1:19" ht="15.6">
      <c r="B170" s="4" t="s">
        <v>8</v>
      </c>
      <c r="C170" s="6">
        <f t="shared" ref="C170:P170" si="316">C172+C174</f>
        <v>206.57810958904108</v>
      </c>
      <c r="D170" s="6">
        <f t="shared" si="316"/>
        <v>199.40301369863016</v>
      </c>
      <c r="E170" s="6">
        <f>E169/365</f>
        <v>209.46408839779008</v>
      </c>
      <c r="F170" s="6">
        <f t="shared" si="316"/>
        <v>238.05574796581587</v>
      </c>
      <c r="G170" s="6">
        <f t="shared" si="316"/>
        <v>251.60973363504027</v>
      </c>
      <c r="H170" s="6">
        <f t="shared" si="316"/>
        <v>266.33485533272545</v>
      </c>
      <c r="I170" s="6">
        <f t="shared" si="316"/>
        <v>282.17894468496974</v>
      </c>
      <c r="J170" s="6">
        <f t="shared" si="316"/>
        <v>295.46114338667098</v>
      </c>
      <c r="K170" s="6">
        <f t="shared" si="316"/>
        <v>306.90704832222883</v>
      </c>
      <c r="L170" s="6">
        <f t="shared" si="316"/>
        <v>316.48529241570458</v>
      </c>
      <c r="M170" s="6">
        <f t="shared" si="316"/>
        <v>325.14109559031738</v>
      </c>
      <c r="N170" s="6">
        <f t="shared" si="316"/>
        <v>333.3524056771368</v>
      </c>
      <c r="O170" s="6">
        <f t="shared" si="316"/>
        <v>341.07970380377481</v>
      </c>
      <c r="P170" s="6">
        <f t="shared" si="316"/>
        <v>347.69808880000028</v>
      </c>
      <c r="Q170" s="6">
        <f>Q172+Q174</f>
        <v>351.67129920000019</v>
      </c>
      <c r="R170" s="6">
        <f>R172+R174</f>
        <v>358.35580800000025</v>
      </c>
    </row>
    <row r="171" spans="1:19" ht="15.6">
      <c r="B171" s="4" t="s">
        <v>9</v>
      </c>
      <c r="C171" s="6">
        <v>74022.11</v>
      </c>
      <c r="D171" s="6">
        <v>71132.240000000005</v>
      </c>
      <c r="E171" s="6">
        <f>36907/181*365</f>
        <v>74425.718232044208</v>
      </c>
      <c r="F171" s="6">
        <f>F172*366</f>
        <v>83468.403755488602</v>
      </c>
      <c r="G171" s="6">
        <f t="shared" ref="G171:Q171" si="317">G172*365</f>
        <v>87822.5527767897</v>
      </c>
      <c r="H171" s="6">
        <f t="shared" si="317"/>
        <v>92467.222196444796</v>
      </c>
      <c r="I171" s="6">
        <f t="shared" si="317"/>
        <v>97520.314810013952</v>
      </c>
      <c r="J171" s="6">
        <f>J172*366</f>
        <v>101916.77847952158</v>
      </c>
      <c r="K171" s="6">
        <f>K172*366</f>
        <v>105373.97968593576</v>
      </c>
      <c r="L171" s="6">
        <f t="shared" ref="L171" si="318">L172*366</f>
        <v>108147.61702414787</v>
      </c>
      <c r="M171" s="6">
        <f t="shared" ref="M171" si="319">M172*366</f>
        <v>110583.64098605615</v>
      </c>
      <c r="N171" s="6">
        <f t="shared" ref="N171" si="320">N172*366</f>
        <v>112856.98047783207</v>
      </c>
      <c r="O171" s="6">
        <f t="shared" si="317"/>
        <v>114639.09188837781</v>
      </c>
      <c r="P171" s="6">
        <f t="shared" si="317"/>
        <v>116324.80241200011</v>
      </c>
      <c r="Q171" s="6">
        <f t="shared" si="317"/>
        <v>117045.02420800008</v>
      </c>
      <c r="R171" s="6">
        <f>R172*366</f>
        <v>119080.22572800009</v>
      </c>
    </row>
    <row r="172" spans="1:19" ht="15.6">
      <c r="B172" s="4" t="s">
        <v>10</v>
      </c>
      <c r="C172" s="13">
        <f>C171/365</f>
        <v>202.80030136986301</v>
      </c>
      <c r="D172" s="13">
        <f>D171/365</f>
        <v>194.88284931506851</v>
      </c>
      <c r="E172" s="6">
        <f>E171/365</f>
        <v>203.90607734806633</v>
      </c>
      <c r="F172" s="6">
        <f t="shared" ref="F172:R172" si="321">F166*F168/1000</f>
        <v>228.05574796581587</v>
      </c>
      <c r="G172" s="6">
        <f t="shared" si="321"/>
        <v>240.60973363504027</v>
      </c>
      <c r="H172" s="6">
        <f t="shared" si="321"/>
        <v>253.33485533272545</v>
      </c>
      <c r="I172" s="6">
        <f t="shared" si="321"/>
        <v>267.17894468496974</v>
      </c>
      <c r="J172" s="6">
        <f t="shared" si="321"/>
        <v>278.46114338667098</v>
      </c>
      <c r="K172" s="6">
        <f t="shared" si="321"/>
        <v>287.90704832222883</v>
      </c>
      <c r="L172" s="6">
        <f t="shared" si="321"/>
        <v>295.48529241570458</v>
      </c>
      <c r="M172" s="6">
        <f t="shared" si="321"/>
        <v>302.14109559031738</v>
      </c>
      <c r="N172" s="6">
        <f t="shared" si="321"/>
        <v>308.3524056771368</v>
      </c>
      <c r="O172" s="6">
        <f t="shared" si="321"/>
        <v>314.07970380377481</v>
      </c>
      <c r="P172" s="6">
        <f t="shared" si="321"/>
        <v>318.69808880000028</v>
      </c>
      <c r="Q172" s="6">
        <f t="shared" si="321"/>
        <v>320.67129920000019</v>
      </c>
      <c r="R172" s="6">
        <f t="shared" si="321"/>
        <v>325.35580800000025</v>
      </c>
    </row>
    <row r="173" spans="1:19" ht="15.6">
      <c r="B173" s="4" t="s">
        <v>11</v>
      </c>
      <c r="C173" s="13">
        <v>1378.9</v>
      </c>
      <c r="D173" s="13">
        <v>1649.86</v>
      </c>
      <c r="E173" s="6">
        <f>1006/181*365</f>
        <v>2028.6740331491715</v>
      </c>
      <c r="F173" s="6">
        <f>F174*366</f>
        <v>3660</v>
      </c>
      <c r="G173" s="6">
        <f t="shared" ref="G173:Q173" si="322">G174*365</f>
        <v>4015</v>
      </c>
      <c r="H173" s="6">
        <f t="shared" si="322"/>
        <v>4745</v>
      </c>
      <c r="I173" s="6">
        <f t="shared" si="322"/>
        <v>5475</v>
      </c>
      <c r="J173" s="6">
        <f>J174*366</f>
        <v>6222</v>
      </c>
      <c r="K173" s="6">
        <f t="shared" si="322"/>
        <v>6935</v>
      </c>
      <c r="L173" s="6">
        <f t="shared" si="322"/>
        <v>7665</v>
      </c>
      <c r="M173" s="6">
        <f t="shared" si="322"/>
        <v>8395</v>
      </c>
      <c r="N173" s="6">
        <f t="shared" ref="N173" si="323">N174*366</f>
        <v>9150</v>
      </c>
      <c r="O173" s="6">
        <f t="shared" si="322"/>
        <v>9855</v>
      </c>
      <c r="P173" s="6">
        <f t="shared" si="322"/>
        <v>10585</v>
      </c>
      <c r="Q173" s="6">
        <f t="shared" si="322"/>
        <v>11315</v>
      </c>
      <c r="R173" s="6">
        <f>R174*366</f>
        <v>12078</v>
      </c>
    </row>
    <row r="174" spans="1:19" ht="15.6">
      <c r="B174" s="4" t="s">
        <v>12</v>
      </c>
      <c r="C174" s="34">
        <f>C173/365</f>
        <v>3.7778082191780826</v>
      </c>
      <c r="D174" s="34">
        <f>D173/365</f>
        <v>4.5201643835616432</v>
      </c>
      <c r="E174" s="6">
        <f>E173/365</f>
        <v>5.5580110497237571</v>
      </c>
      <c r="F174" s="6">
        <v>10</v>
      </c>
      <c r="G174" s="6">
        <v>11</v>
      </c>
      <c r="H174" s="6">
        <f>+G174+2</f>
        <v>13</v>
      </c>
      <c r="I174" s="6">
        <f t="shared" ref="I174:R174" si="324">+H174+2</f>
        <v>15</v>
      </c>
      <c r="J174" s="6">
        <f t="shared" si="324"/>
        <v>17</v>
      </c>
      <c r="K174" s="6">
        <f t="shared" si="324"/>
        <v>19</v>
      </c>
      <c r="L174" s="6">
        <f t="shared" si="324"/>
        <v>21</v>
      </c>
      <c r="M174" s="6">
        <f t="shared" si="324"/>
        <v>23</v>
      </c>
      <c r="N174" s="6">
        <f t="shared" si="324"/>
        <v>25</v>
      </c>
      <c r="O174" s="6">
        <f t="shared" si="324"/>
        <v>27</v>
      </c>
      <c r="P174" s="6">
        <f t="shared" si="324"/>
        <v>29</v>
      </c>
      <c r="Q174" s="6">
        <f t="shared" si="324"/>
        <v>31</v>
      </c>
      <c r="R174" s="6">
        <f t="shared" si="324"/>
        <v>33</v>
      </c>
      <c r="S174" s="32"/>
    </row>
    <row r="175" spans="1:19"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5"/>
      <c r="R175" s="45"/>
    </row>
    <row r="177" spans="1:19" ht="15.6">
      <c r="A177" s="43">
        <v>13</v>
      </c>
      <c r="B177" s="54" t="s">
        <v>41</v>
      </c>
      <c r="C177" s="54"/>
      <c r="D177" s="65"/>
      <c r="E177" s="65"/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</row>
    <row r="178" spans="1:19">
      <c r="B178" s="2" t="s">
        <v>1</v>
      </c>
      <c r="C178" s="18">
        <v>2021</v>
      </c>
      <c r="D178" s="18">
        <v>2022</v>
      </c>
      <c r="E178" s="18" t="s">
        <v>2</v>
      </c>
      <c r="F178" s="18">
        <v>2024</v>
      </c>
      <c r="G178" s="18">
        <v>2025</v>
      </c>
      <c r="H178" s="18">
        <v>2026</v>
      </c>
      <c r="I178" s="18">
        <v>2027</v>
      </c>
      <c r="J178" s="18">
        <v>2028</v>
      </c>
      <c r="K178" s="18">
        <v>2029</v>
      </c>
      <c r="L178" s="18">
        <v>2030</v>
      </c>
      <c r="M178" s="18">
        <v>2031</v>
      </c>
      <c r="N178" s="18">
        <v>2032</v>
      </c>
      <c r="O178" s="19">
        <v>2033</v>
      </c>
      <c r="P178" s="19">
        <v>2034</v>
      </c>
      <c r="Q178" s="19">
        <v>2035</v>
      </c>
      <c r="R178" s="19">
        <v>2036</v>
      </c>
    </row>
    <row r="179" spans="1:19">
      <c r="B179" s="4" t="s">
        <v>3</v>
      </c>
      <c r="C179" s="4">
        <v>479</v>
      </c>
      <c r="D179" s="4">
        <v>422</v>
      </c>
      <c r="E179" s="6">
        <v>522.80000000000007</v>
      </c>
      <c r="F179" s="6">
        <v>548.30000000000007</v>
      </c>
      <c r="G179" s="6">
        <v>573.80000000000007</v>
      </c>
      <c r="H179" s="6">
        <v>599.30000000000007</v>
      </c>
      <c r="I179" s="6">
        <v>629.29999999999995</v>
      </c>
      <c r="J179" s="6">
        <v>659.29999999999984</v>
      </c>
      <c r="K179" s="6">
        <v>689.29999999999973</v>
      </c>
      <c r="L179" s="6">
        <v>718.39999999999975</v>
      </c>
      <c r="M179" s="6">
        <v>746.59999999999968</v>
      </c>
      <c r="N179" s="6">
        <v>751.99999999999966</v>
      </c>
      <c r="O179" s="6">
        <v>751.99999999999966</v>
      </c>
      <c r="P179" s="6">
        <v>751.99999999999966</v>
      </c>
      <c r="Q179" s="6">
        <v>751.99999999999966</v>
      </c>
      <c r="R179" s="6">
        <v>751.99999999999966</v>
      </c>
    </row>
    <row r="180" spans="1:19">
      <c r="B180" s="4" t="s">
        <v>4</v>
      </c>
      <c r="C180" s="6">
        <f>C179*C181/100</f>
        <v>459.84</v>
      </c>
      <c r="D180" s="6">
        <f>D179*D181/100</f>
        <v>400.9</v>
      </c>
      <c r="E180" s="6">
        <v>450</v>
      </c>
      <c r="F180" s="6">
        <f t="shared" ref="F180" si="325">F179*F181/100</f>
        <v>529.10950000000003</v>
      </c>
      <c r="G180" s="6">
        <f t="shared" ref="G180" si="326">G179*G181/100</f>
        <v>554.86460000000011</v>
      </c>
      <c r="H180" s="6">
        <f t="shared" ref="H180" si="327">H179*H181/100</f>
        <v>580.12240000000008</v>
      </c>
      <c r="I180" s="6">
        <f t="shared" ref="I180" si="328">I179*I181/100</f>
        <v>610.42099999999994</v>
      </c>
      <c r="J180" s="6">
        <f t="shared" ref="J180" si="329">J179*J181/100</f>
        <v>640.18029999999987</v>
      </c>
      <c r="K180" s="6">
        <f t="shared" ref="K180" si="330">K179*K181/100</f>
        <v>669.99959999999976</v>
      </c>
      <c r="L180" s="6">
        <f t="shared" ref="L180" si="331">L179*L181/100</f>
        <v>699.00319999999977</v>
      </c>
      <c r="M180" s="6">
        <f t="shared" ref="M180" si="332">M179*M181/100</f>
        <v>727.18839999999966</v>
      </c>
      <c r="N180" s="6">
        <f t="shared" ref="N180" si="333">N179*N181/100</f>
        <v>733.1999999999997</v>
      </c>
      <c r="O180" s="6">
        <f t="shared" ref="O180" si="334">O179*O181/100</f>
        <v>733.1999999999997</v>
      </c>
      <c r="P180" s="6">
        <f t="shared" ref="P180" si="335">P179*P181/100</f>
        <v>733.1999999999997</v>
      </c>
      <c r="Q180" s="6">
        <f t="shared" ref="Q180" si="336">Q179*Q181/100</f>
        <v>733.1999999999997</v>
      </c>
      <c r="R180" s="6">
        <f t="shared" ref="R180" si="337">R179*R181/100</f>
        <v>733.1999999999997</v>
      </c>
    </row>
    <row r="181" spans="1:19">
      <c r="B181" s="4" t="s">
        <v>5</v>
      </c>
      <c r="C181" s="6">
        <v>96</v>
      </c>
      <c r="D181" s="6">
        <v>95</v>
      </c>
      <c r="E181" s="6">
        <v>96.3</v>
      </c>
      <c r="F181" s="6">
        <v>96.5</v>
      </c>
      <c r="G181" s="6">
        <v>96.7</v>
      </c>
      <c r="H181" s="6">
        <v>96.8</v>
      </c>
      <c r="I181" s="6">
        <v>97</v>
      </c>
      <c r="J181" s="6">
        <v>97.1</v>
      </c>
      <c r="K181" s="6">
        <v>97.2</v>
      </c>
      <c r="L181" s="6">
        <v>97.3</v>
      </c>
      <c r="M181" s="6">
        <v>97.4</v>
      </c>
      <c r="N181" s="6">
        <v>97.5</v>
      </c>
      <c r="O181" s="6">
        <v>97.5</v>
      </c>
      <c r="P181" s="6">
        <v>97.5</v>
      </c>
      <c r="Q181" s="6">
        <v>97.5</v>
      </c>
      <c r="R181" s="6">
        <v>97.5</v>
      </c>
    </row>
    <row r="182" spans="1:19">
      <c r="B182" s="4" t="s">
        <v>6</v>
      </c>
      <c r="C182" s="3">
        <f>C186/C180*1000</f>
        <v>116.93632567849687</v>
      </c>
      <c r="D182" s="3">
        <f>D186/D180*1000</f>
        <v>124.5553668629146</v>
      </c>
      <c r="E182" s="3">
        <f>E186/E180*1000</f>
        <v>119.87722529158992</v>
      </c>
      <c r="F182" s="3">
        <v>120</v>
      </c>
      <c r="G182" s="3">
        <v>120</v>
      </c>
      <c r="H182" s="3">
        <v>120</v>
      </c>
      <c r="I182" s="3">
        <v>120</v>
      </c>
      <c r="J182" s="3">
        <v>120</v>
      </c>
      <c r="K182" s="3">
        <v>120</v>
      </c>
      <c r="L182" s="3">
        <v>120</v>
      </c>
      <c r="M182" s="3">
        <v>120</v>
      </c>
      <c r="N182" s="3">
        <v>120</v>
      </c>
      <c r="O182" s="3">
        <v>120</v>
      </c>
      <c r="P182" s="3">
        <v>120</v>
      </c>
      <c r="Q182" s="3">
        <v>120</v>
      </c>
      <c r="R182" s="3">
        <v>119.50153848148823</v>
      </c>
    </row>
    <row r="183" spans="1:19" ht="15.6">
      <c r="B183" s="4" t="s">
        <v>7</v>
      </c>
      <c r="C183" s="10">
        <f>+C185+C187</f>
        <v>20052.78</v>
      </c>
      <c r="D183" s="10">
        <f>+D185+D187</f>
        <v>18634.7</v>
      </c>
      <c r="E183" s="10">
        <f t="shared" ref="E183" si="338">+E185+E187</f>
        <v>20024.585635359115</v>
      </c>
      <c r="F183" s="10">
        <f t="shared" ref="F183:R183" si="339">+F185+F187</f>
        <v>23695.372066434778</v>
      </c>
      <c r="G183" s="10">
        <f t="shared" si="339"/>
        <v>24758.703992701354</v>
      </c>
      <c r="H183" s="10">
        <f t="shared" si="339"/>
        <v>25864.995632701357</v>
      </c>
      <c r="I183" s="10">
        <f t="shared" si="339"/>
        <v>27192.074312701348</v>
      </c>
      <c r="J183" s="10">
        <f t="shared" si="339"/>
        <v>28582.751602434775</v>
      </c>
      <c r="K183" s="10">
        <f t="shared" si="339"/>
        <v>29900.26694470134</v>
      </c>
      <c r="L183" s="10">
        <f t="shared" si="339"/>
        <v>31183.230056701344</v>
      </c>
      <c r="M183" s="10">
        <f t="shared" si="339"/>
        <v>32430.249040701336</v>
      </c>
      <c r="N183" s="10">
        <f t="shared" si="339"/>
        <v>32704.776826434769</v>
      </c>
      <c r="O183" s="10">
        <f t="shared" si="339"/>
        <v>32624.544512701341</v>
      </c>
      <c r="P183" s="10">
        <f t="shared" si="339"/>
        <v>32633.669512701341</v>
      </c>
      <c r="Q183" s="10">
        <f t="shared" si="339"/>
        <v>32642.794512701341</v>
      </c>
      <c r="R183" s="10">
        <f t="shared" si="339"/>
        <v>32607.614079788309</v>
      </c>
    </row>
    <row r="184" spans="1:19" ht="15.6">
      <c r="B184" s="4" t="s">
        <v>8</v>
      </c>
      <c r="C184" s="6">
        <f t="shared" ref="C184:P184" si="340">C186+C188</f>
        <v>54.939123287671229</v>
      </c>
      <c r="D184" s="6">
        <f t="shared" si="340"/>
        <v>51.053972602739726</v>
      </c>
      <c r="E184" s="6">
        <f>E183/365</f>
        <v>54.861878453038671</v>
      </c>
      <c r="F184" s="6">
        <f t="shared" si="340"/>
        <v>64.741453733428358</v>
      </c>
      <c r="G184" s="6">
        <f t="shared" si="340"/>
        <v>67.832065733428365</v>
      </c>
      <c r="H184" s="6">
        <f t="shared" si="340"/>
        <v>70.863001733428376</v>
      </c>
      <c r="I184" s="6">
        <f t="shared" si="340"/>
        <v>74.498833733428356</v>
      </c>
      <c r="J184" s="6">
        <f t="shared" si="340"/>
        <v>78.094949733428336</v>
      </c>
      <c r="K184" s="6">
        <f t="shared" si="340"/>
        <v>81.698265733428329</v>
      </c>
      <c r="L184" s="6">
        <f t="shared" si="340"/>
        <v>85.203697733428342</v>
      </c>
      <c r="M184" s="6">
        <f t="shared" si="340"/>
        <v>88.610921733428313</v>
      </c>
      <c r="N184" s="6">
        <f t="shared" si="340"/>
        <v>89.357313733428327</v>
      </c>
      <c r="O184" s="6">
        <f t="shared" si="340"/>
        <v>89.382313733428319</v>
      </c>
      <c r="P184" s="6">
        <f t="shared" si="340"/>
        <v>89.407313733428325</v>
      </c>
      <c r="Q184" s="6">
        <f>Q186+Q188</f>
        <v>89.43231373342833</v>
      </c>
      <c r="R184" s="6">
        <f>R186+R188</f>
        <v>89.091841748055487</v>
      </c>
    </row>
    <row r="185" spans="1:19" ht="15.6">
      <c r="B185" s="4" t="s">
        <v>9</v>
      </c>
      <c r="C185" s="6">
        <v>19626.78</v>
      </c>
      <c r="D185" s="6">
        <v>18226</v>
      </c>
      <c r="E185" s="6">
        <f>9764/181*365</f>
        <v>19689.834254143647</v>
      </c>
      <c r="F185" s="6">
        <f>F186*366</f>
        <v>23238.489239999999</v>
      </c>
      <c r="G185" s="6">
        <f t="shared" ref="G185:Q185" si="341">G186*365</f>
        <v>24303.069480000002</v>
      </c>
      <c r="H185" s="6">
        <f t="shared" si="341"/>
        <v>25409.361120000005</v>
      </c>
      <c r="I185" s="6">
        <f t="shared" si="341"/>
        <v>26736.439799999996</v>
      </c>
      <c r="J185" s="6">
        <f>J186*366</f>
        <v>28116.718775999994</v>
      </c>
      <c r="K185" s="6">
        <f>K186*366</f>
        <v>29426.382431999988</v>
      </c>
      <c r="L185" s="6">
        <f t="shared" ref="L185" si="342">L186*366</f>
        <v>30700.220543999993</v>
      </c>
      <c r="M185" s="6">
        <f t="shared" ref="M185" si="343">M186*366</f>
        <v>31938.114527999984</v>
      </c>
      <c r="N185" s="6">
        <f t="shared" ref="N185" si="344">N186*366</f>
        <v>32202.143999999989</v>
      </c>
      <c r="O185" s="6">
        <f t="shared" si="341"/>
        <v>32114.159999999989</v>
      </c>
      <c r="P185" s="6">
        <f t="shared" si="341"/>
        <v>32114.159999999989</v>
      </c>
      <c r="Q185" s="6">
        <f t="shared" si="341"/>
        <v>32114.159999999989</v>
      </c>
      <c r="R185" s="6">
        <f>R186*366</f>
        <v>32068.381253353531</v>
      </c>
    </row>
    <row r="186" spans="1:19" ht="15.6">
      <c r="B186" s="4" t="s">
        <v>10</v>
      </c>
      <c r="C186" s="13">
        <f>C185/365</f>
        <v>53.771999999999998</v>
      </c>
      <c r="D186" s="13">
        <f>D185/365</f>
        <v>49.934246575342463</v>
      </c>
      <c r="E186" s="6">
        <f>E185/365</f>
        <v>53.944751381215468</v>
      </c>
      <c r="F186" s="6">
        <f t="shared" ref="F186:R186" si="345">F180*F182/1000</f>
        <v>63.493139999999997</v>
      </c>
      <c r="G186" s="6">
        <f t="shared" si="345"/>
        <v>66.583752000000004</v>
      </c>
      <c r="H186" s="6">
        <f t="shared" si="345"/>
        <v>69.614688000000015</v>
      </c>
      <c r="I186" s="6">
        <f t="shared" si="345"/>
        <v>73.250519999999995</v>
      </c>
      <c r="J186" s="6">
        <f t="shared" si="345"/>
        <v>76.821635999999984</v>
      </c>
      <c r="K186" s="6">
        <f t="shared" si="345"/>
        <v>80.399951999999971</v>
      </c>
      <c r="L186" s="6">
        <f t="shared" si="345"/>
        <v>83.880383999999978</v>
      </c>
      <c r="M186" s="6">
        <f t="shared" si="345"/>
        <v>87.262607999999958</v>
      </c>
      <c r="N186" s="6">
        <f t="shared" si="345"/>
        <v>87.983999999999966</v>
      </c>
      <c r="O186" s="6">
        <f t="shared" si="345"/>
        <v>87.983999999999966</v>
      </c>
      <c r="P186" s="6">
        <f t="shared" si="345"/>
        <v>87.983999999999966</v>
      </c>
      <c r="Q186" s="6">
        <f t="shared" si="345"/>
        <v>87.983999999999966</v>
      </c>
      <c r="R186" s="6">
        <f t="shared" si="345"/>
        <v>87.618528014627131</v>
      </c>
    </row>
    <row r="187" spans="1:19" ht="15.6">
      <c r="B187" s="4" t="s">
        <v>11</v>
      </c>
      <c r="C187" s="13">
        <v>426</v>
      </c>
      <c r="D187" s="13">
        <v>408.7</v>
      </c>
      <c r="E187" s="6">
        <f>166/181*365</f>
        <v>334.75138121546962</v>
      </c>
      <c r="F187" s="6">
        <f>F188*366</f>
        <v>456.8828264347797</v>
      </c>
      <c r="G187" s="6">
        <f t="shared" ref="G187:Q187" si="346">G188*365</f>
        <v>455.63451270135135</v>
      </c>
      <c r="H187" s="6">
        <f t="shared" si="346"/>
        <v>455.63451270135135</v>
      </c>
      <c r="I187" s="6">
        <f t="shared" si="346"/>
        <v>455.63451270135135</v>
      </c>
      <c r="J187" s="6">
        <f>J188*366</f>
        <v>466.03282643477968</v>
      </c>
      <c r="K187" s="6">
        <f t="shared" si="346"/>
        <v>473.8845127013513</v>
      </c>
      <c r="L187" s="6">
        <f t="shared" si="346"/>
        <v>483.00951270135124</v>
      </c>
      <c r="M187" s="6">
        <f t="shared" si="346"/>
        <v>492.13451270135118</v>
      </c>
      <c r="N187" s="6">
        <f t="shared" ref="N187" si="347">N188*366</f>
        <v>502.63282643477953</v>
      </c>
      <c r="O187" s="6">
        <f t="shared" si="346"/>
        <v>510.38451270135113</v>
      </c>
      <c r="P187" s="6">
        <f t="shared" si="346"/>
        <v>519.50951270135113</v>
      </c>
      <c r="Q187" s="6">
        <f t="shared" si="346"/>
        <v>528.63451270135113</v>
      </c>
      <c r="R187" s="6">
        <f>R188*366</f>
        <v>539.23282643477944</v>
      </c>
    </row>
    <row r="188" spans="1:19" ht="15.6">
      <c r="B188" s="4" t="s">
        <v>12</v>
      </c>
      <c r="C188" s="34">
        <f>C187/365</f>
        <v>1.167123287671233</v>
      </c>
      <c r="D188" s="34">
        <f>D187/365</f>
        <v>1.1197260273972602</v>
      </c>
      <c r="E188" s="7">
        <f>E187/365</f>
        <v>0.91712707182320441</v>
      </c>
      <c r="F188" s="7">
        <v>1.2483137334283598</v>
      </c>
      <c r="G188" s="7">
        <v>1.2483137334283598</v>
      </c>
      <c r="H188" s="7">
        <v>1.2483137334283598</v>
      </c>
      <c r="I188" s="7">
        <v>1.2483137334283598</v>
      </c>
      <c r="J188" s="7">
        <f>+I188+0.025</f>
        <v>1.2733137334283597</v>
      </c>
      <c r="K188" s="7">
        <f t="shared" ref="K188:R188" si="348">+J188+0.025</f>
        <v>1.2983137334283597</v>
      </c>
      <c r="L188" s="7">
        <f t="shared" si="348"/>
        <v>1.3233137334283596</v>
      </c>
      <c r="M188" s="7">
        <f t="shared" si="348"/>
        <v>1.3483137334283595</v>
      </c>
      <c r="N188" s="7">
        <f t="shared" si="348"/>
        <v>1.3733137334283594</v>
      </c>
      <c r="O188" s="7">
        <f t="shared" si="348"/>
        <v>1.3983137334283593</v>
      </c>
      <c r="P188" s="7">
        <f t="shared" si="348"/>
        <v>1.4233137334283592</v>
      </c>
      <c r="Q188" s="7">
        <f t="shared" si="348"/>
        <v>1.4483137334283591</v>
      </c>
      <c r="R188" s="7">
        <f t="shared" si="348"/>
        <v>1.473313733428359</v>
      </c>
      <c r="S188" s="32"/>
    </row>
    <row r="189" spans="1:19"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5"/>
      <c r="R189" s="45"/>
    </row>
    <row r="191" spans="1:19" ht="15.6">
      <c r="A191" s="43">
        <v>14</v>
      </c>
      <c r="B191" s="54" t="s">
        <v>42</v>
      </c>
      <c r="C191" s="54"/>
      <c r="D191" s="65"/>
      <c r="E191" s="65"/>
      <c r="F191" s="65"/>
      <c r="G191" s="65"/>
      <c r="H191" s="65"/>
      <c r="I191" s="65"/>
      <c r="J191" s="65"/>
      <c r="K191" s="65"/>
      <c r="L191" s="65"/>
      <c r="M191" s="65"/>
      <c r="N191" s="65"/>
      <c r="O191" s="65"/>
      <c r="P191" s="65"/>
    </row>
    <row r="192" spans="1:19">
      <c r="B192" s="2" t="s">
        <v>1</v>
      </c>
      <c r="C192" s="18">
        <v>2021</v>
      </c>
      <c r="D192" s="18">
        <v>2022</v>
      </c>
      <c r="E192" s="18" t="s">
        <v>2</v>
      </c>
      <c r="F192" s="18">
        <v>2024</v>
      </c>
      <c r="G192" s="18">
        <v>2025</v>
      </c>
      <c r="H192" s="18">
        <v>2026</v>
      </c>
      <c r="I192" s="18">
        <v>2027</v>
      </c>
      <c r="J192" s="18">
        <v>2028</v>
      </c>
      <c r="K192" s="18">
        <v>2029</v>
      </c>
      <c r="L192" s="18">
        <v>2030</v>
      </c>
      <c r="M192" s="18">
        <v>2031</v>
      </c>
      <c r="N192" s="18">
        <v>2032</v>
      </c>
      <c r="O192" s="19">
        <v>2033</v>
      </c>
      <c r="P192" s="19">
        <v>2034</v>
      </c>
      <c r="Q192" s="19">
        <v>2035</v>
      </c>
      <c r="R192" s="19">
        <v>2036</v>
      </c>
    </row>
    <row r="193" spans="1:19">
      <c r="B193" s="4" t="s">
        <v>3</v>
      </c>
      <c r="C193" s="4">
        <v>515</v>
      </c>
      <c r="D193" s="4">
        <v>528</v>
      </c>
      <c r="E193" s="6">
        <v>530</v>
      </c>
      <c r="F193" s="6">
        <v>653.39000000000021</v>
      </c>
      <c r="G193" s="6">
        <v>710.3000000000003</v>
      </c>
      <c r="H193" s="6">
        <v>745.6700000000003</v>
      </c>
      <c r="I193" s="6">
        <v>792.56000000000029</v>
      </c>
      <c r="J193" s="6">
        <v>844.91000000000031</v>
      </c>
      <c r="K193" s="6">
        <v>877.5500000000003</v>
      </c>
      <c r="L193" s="6">
        <v>905.5400000000003</v>
      </c>
      <c r="M193" s="6">
        <v>936.26000000000022</v>
      </c>
      <c r="N193" s="6">
        <v>966.98000000000013</v>
      </c>
      <c r="O193" s="6">
        <v>980.63000000000011</v>
      </c>
      <c r="P193" s="6">
        <v>988.82000000000016</v>
      </c>
      <c r="Q193" s="6">
        <v>994.2800000000002</v>
      </c>
      <c r="R193" s="6">
        <v>999.74000000000024</v>
      </c>
    </row>
    <row r="194" spans="1:19">
      <c r="B194" s="4" t="s">
        <v>4</v>
      </c>
      <c r="C194" s="6">
        <f>C193*C195/100</f>
        <v>442.9</v>
      </c>
      <c r="D194" s="6">
        <f>D193*D195/100</f>
        <v>454.08</v>
      </c>
      <c r="E194" s="6">
        <v>458</v>
      </c>
      <c r="F194" s="6">
        <f t="shared" ref="F194" si="349">F193*F195/100</f>
        <v>581.51710000000026</v>
      </c>
      <c r="G194" s="6">
        <f t="shared" ref="G194" si="350">G193*G195/100</f>
        <v>637.84940000000029</v>
      </c>
      <c r="H194" s="6">
        <f t="shared" ref="H194" si="351">H193*H195/100</f>
        <v>673.34001000000023</v>
      </c>
      <c r="I194" s="6">
        <f t="shared" ref="I194" si="352">I193*I195/100</f>
        <v>720.43704000000025</v>
      </c>
      <c r="J194" s="6">
        <f t="shared" ref="J194" si="353">J193*J195/100</f>
        <v>773.09265000000028</v>
      </c>
      <c r="K194" s="6">
        <f t="shared" ref="K194" si="354">K193*K195/100</f>
        <v>805.59090000000026</v>
      </c>
      <c r="L194" s="6">
        <f t="shared" ref="L194" si="355">L193*L195/100</f>
        <v>833.09680000000026</v>
      </c>
      <c r="M194" s="6">
        <f t="shared" ref="M194" si="356">M193*M195/100</f>
        <v>864.16798000000028</v>
      </c>
      <c r="N194" s="6">
        <f t="shared" ref="N194" si="357">N193*N195/100</f>
        <v>894.45650000000012</v>
      </c>
      <c r="O194" s="6">
        <f t="shared" ref="O194" si="358">O193*O195/100</f>
        <v>908.06338000000005</v>
      </c>
      <c r="P194" s="6">
        <f t="shared" ref="P194" si="359">P193*P195/100</f>
        <v>916.63614000000018</v>
      </c>
      <c r="Q194" s="6">
        <f t="shared" ref="Q194" si="360">Q193*Q195/100</f>
        <v>921.69756000000018</v>
      </c>
      <c r="R194" s="6">
        <f t="shared" ref="R194" si="361">R193*R195/100</f>
        <v>927.75872000000015</v>
      </c>
    </row>
    <row r="195" spans="1:19">
      <c r="B195" s="4" t="s">
        <v>5</v>
      </c>
      <c r="C195" s="6">
        <v>86</v>
      </c>
      <c r="D195" s="6">
        <v>86</v>
      </c>
      <c r="E195" s="6">
        <v>87.9</v>
      </c>
      <c r="F195" s="6">
        <v>89</v>
      </c>
      <c r="G195" s="6">
        <v>89.8</v>
      </c>
      <c r="H195" s="6">
        <v>90.3</v>
      </c>
      <c r="I195" s="6">
        <v>90.9</v>
      </c>
      <c r="J195" s="6">
        <v>91.5</v>
      </c>
      <c r="K195" s="6">
        <v>91.8</v>
      </c>
      <c r="L195" s="6">
        <v>92</v>
      </c>
      <c r="M195" s="6">
        <v>92.3</v>
      </c>
      <c r="N195" s="6">
        <v>92.5</v>
      </c>
      <c r="O195" s="6">
        <v>92.6</v>
      </c>
      <c r="P195" s="6">
        <v>92.7</v>
      </c>
      <c r="Q195" s="6">
        <v>92.7</v>
      </c>
      <c r="R195" s="6">
        <v>92.8</v>
      </c>
    </row>
    <row r="196" spans="1:19">
      <c r="B196" s="4" t="s">
        <v>6</v>
      </c>
      <c r="C196" s="3">
        <f>C200/C194*1000</f>
        <v>113.188789949183</v>
      </c>
      <c r="D196" s="3">
        <f>D200/D194*1000</f>
        <v>108.8678477994343</v>
      </c>
      <c r="E196" s="3">
        <f>E200/E194*1000</f>
        <v>105.563463533499</v>
      </c>
      <c r="F196" s="3">
        <v>113.52000025934761</v>
      </c>
      <c r="G196" s="3">
        <v>114.01846177785933</v>
      </c>
      <c r="H196" s="3">
        <v>114.51692329637105</v>
      </c>
      <c r="I196" s="3">
        <v>115.01538481488276</v>
      </c>
      <c r="J196" s="3">
        <v>115.51384633339448</v>
      </c>
      <c r="K196" s="3">
        <v>116.0123078519062</v>
      </c>
      <c r="L196" s="3">
        <v>116.51076937041792</v>
      </c>
      <c r="M196" s="3">
        <v>117.00923088892964</v>
      </c>
      <c r="N196" s="3">
        <v>117.50769240744135</v>
      </c>
      <c r="O196" s="3">
        <v>118.00615392595307</v>
      </c>
      <c r="P196" s="3">
        <v>118.50461544446479</v>
      </c>
      <c r="Q196" s="3">
        <v>119.00307696297651</v>
      </c>
      <c r="R196" s="3">
        <v>119.50153848148823</v>
      </c>
    </row>
    <row r="197" spans="1:19" ht="15.6">
      <c r="B197" s="4" t="s">
        <v>7</v>
      </c>
      <c r="C197" s="10">
        <f>+C199+C201</f>
        <v>18506.830000000002</v>
      </c>
      <c r="D197" s="10">
        <f>+D199+D201</f>
        <v>18544.97</v>
      </c>
      <c r="E197" s="10">
        <f t="shared" ref="E197" si="362">+E199+E201</f>
        <v>17895.082872928178</v>
      </c>
      <c r="F197" s="10">
        <f t="shared" ref="F197:R197" si="363">+F199+F201</f>
        <v>24527.058611470329</v>
      </c>
      <c r="G197" s="10">
        <f t="shared" si="363"/>
        <v>26910.211713384648</v>
      </c>
      <c r="H197" s="10">
        <f t="shared" si="363"/>
        <v>29163.5</v>
      </c>
      <c r="I197" s="10">
        <f t="shared" si="363"/>
        <v>31266.390337530713</v>
      </c>
      <c r="J197" s="10">
        <f t="shared" si="363"/>
        <v>34039.063439929094</v>
      </c>
      <c r="K197" s="10">
        <f t="shared" si="363"/>
        <v>35884.796174618881</v>
      </c>
      <c r="L197" s="10">
        <f t="shared" si="363"/>
        <v>37533.198180860156</v>
      </c>
      <c r="M197" s="10">
        <f t="shared" si="363"/>
        <v>39344.320835702223</v>
      </c>
      <c r="N197" s="10">
        <f t="shared" si="363"/>
        <v>41140.420054224196</v>
      </c>
      <c r="O197" s="10">
        <f t="shared" si="363"/>
        <v>42105.329453102451</v>
      </c>
      <c r="P197" s="10">
        <f t="shared" si="363"/>
        <v>42787.34884471749</v>
      </c>
      <c r="Q197" s="10">
        <f t="shared" si="363"/>
        <v>43173.968669282709</v>
      </c>
      <c r="R197" s="10">
        <f t="shared" si="363"/>
        <v>43725.505542939551</v>
      </c>
    </row>
    <row r="198" spans="1:19" ht="15.6">
      <c r="B198" s="4" t="s">
        <v>8</v>
      </c>
      <c r="C198" s="6">
        <f t="shared" ref="C198:P198" si="364">C200+C202</f>
        <v>50.70364383561644</v>
      </c>
      <c r="D198" s="6">
        <f t="shared" si="364"/>
        <v>50.808136986301371</v>
      </c>
      <c r="E198" s="6">
        <f>E197/365</f>
        <v>49.027624309392273</v>
      </c>
      <c r="F198" s="6">
        <f t="shared" si="364"/>
        <v>67.013821342815106</v>
      </c>
      <c r="G198" s="6">
        <f t="shared" si="364"/>
        <v>73.726607433930539</v>
      </c>
      <c r="H198" s="6">
        <f t="shared" si="364"/>
        <v>79.900000000000006</v>
      </c>
      <c r="I198" s="6">
        <f t="shared" si="364"/>
        <v>85.661343390495105</v>
      </c>
      <c r="J198" s="6">
        <f t="shared" si="364"/>
        <v>93.002905573576768</v>
      </c>
      <c r="K198" s="6">
        <f t="shared" si="364"/>
        <v>98.058459493494212</v>
      </c>
      <c r="L198" s="6">
        <f t="shared" si="364"/>
        <v>102.56474912803321</v>
      </c>
      <c r="M198" s="6">
        <f t="shared" si="364"/>
        <v>107.51563069863997</v>
      </c>
      <c r="N198" s="6">
        <f t="shared" si="364"/>
        <v>112.40551927383659</v>
      </c>
      <c r="O198" s="6">
        <f t="shared" si="364"/>
        <v>115.35706699480123</v>
      </c>
      <c r="P198" s="6">
        <f t="shared" si="364"/>
        <v>117.2256132731986</v>
      </c>
      <c r="Q198" s="6">
        <f>Q200+Q202</f>
        <v>118.28484566926768</v>
      </c>
      <c r="R198" s="6">
        <f>R200+R202</f>
        <v>119.46859437961626</v>
      </c>
    </row>
    <row r="199" spans="1:19" ht="15.6">
      <c r="B199" s="4" t="s">
        <v>9</v>
      </c>
      <c r="C199" s="6">
        <v>18297.93</v>
      </c>
      <c r="D199" s="6">
        <v>18043.670000000002</v>
      </c>
      <c r="E199" s="6">
        <f>8751/181*365</f>
        <v>17647.04419889503</v>
      </c>
      <c r="F199" s="6">
        <f>F200*366</f>
        <v>24161.058611470329</v>
      </c>
      <c r="G199" s="6">
        <f t="shared" ref="G199:Q199" si="365">G200*365</f>
        <v>26545.211713384648</v>
      </c>
      <c r="H199" s="6">
        <f t="shared" si="365"/>
        <v>28470</v>
      </c>
      <c r="I199" s="6">
        <f t="shared" si="365"/>
        <v>30244.390337530713</v>
      </c>
      <c r="J199" s="6">
        <f>J200*366</f>
        <v>32684.863439929097</v>
      </c>
      <c r="K199" s="6">
        <f>K200*366</f>
        <v>34205.796174618881</v>
      </c>
      <c r="L199" s="6">
        <f t="shared" ref="L199" si="366">L200*366</f>
        <v>35525.698180860156</v>
      </c>
      <c r="M199" s="6">
        <f t="shared" ref="M199" si="367">M200*366</f>
        <v>37008.320835702223</v>
      </c>
      <c r="N199" s="6">
        <f t="shared" ref="N199" si="368">N200*366</f>
        <v>38468.620054224193</v>
      </c>
      <c r="O199" s="6">
        <f t="shared" si="365"/>
        <v>39112.329453102451</v>
      </c>
      <c r="P199" s="6">
        <f t="shared" si="365"/>
        <v>39648.34884471749</v>
      </c>
      <c r="Q199" s="6">
        <f t="shared" si="365"/>
        <v>40034.968669282709</v>
      </c>
      <c r="R199" s="6">
        <f>R200*366</f>
        <v>40577.905542939552</v>
      </c>
    </row>
    <row r="200" spans="1:19" ht="15.6">
      <c r="B200" s="4" t="s">
        <v>10</v>
      </c>
      <c r="C200" s="13">
        <f>C199/365</f>
        <v>50.131315068493151</v>
      </c>
      <c r="D200" s="13">
        <f>D199/365</f>
        <v>49.434712328767127</v>
      </c>
      <c r="E200" s="6">
        <f>E199/365</f>
        <v>48.348066298342545</v>
      </c>
      <c r="F200" s="6">
        <f t="shared" ref="F200:R200" si="369">F194*F196/1000</f>
        <v>66.013821342815106</v>
      </c>
      <c r="G200" s="6">
        <f t="shared" si="369"/>
        <v>72.726607433930539</v>
      </c>
      <c r="H200" s="6">
        <v>78</v>
      </c>
      <c r="I200" s="6">
        <f t="shared" si="369"/>
        <v>82.861343390495108</v>
      </c>
      <c r="J200" s="6">
        <f t="shared" si="369"/>
        <v>89.302905573576766</v>
      </c>
      <c r="K200" s="6">
        <f t="shared" si="369"/>
        <v>93.458459493494217</v>
      </c>
      <c r="L200" s="6">
        <f t="shared" si="369"/>
        <v>97.064749128033213</v>
      </c>
      <c r="M200" s="6">
        <f t="shared" si="369"/>
        <v>101.11563069863996</v>
      </c>
      <c r="N200" s="6">
        <f t="shared" si="369"/>
        <v>105.10551927383659</v>
      </c>
      <c r="O200" s="6">
        <f t="shared" si="369"/>
        <v>107.15706699480123</v>
      </c>
      <c r="P200" s="6">
        <f t="shared" si="369"/>
        <v>108.62561327319861</v>
      </c>
      <c r="Q200" s="6">
        <f t="shared" si="369"/>
        <v>109.68484566926769</v>
      </c>
      <c r="R200" s="6">
        <f t="shared" si="369"/>
        <v>110.86859437961627</v>
      </c>
    </row>
    <row r="201" spans="1:19" ht="15.6">
      <c r="B201" s="4" t="s">
        <v>11</v>
      </c>
      <c r="C201" s="13">
        <v>208.9</v>
      </c>
      <c r="D201" s="13">
        <v>501.3</v>
      </c>
      <c r="E201" s="6">
        <f>123/181*365</f>
        <v>248.03867403314919</v>
      </c>
      <c r="F201" s="6">
        <f>F202*366</f>
        <v>366</v>
      </c>
      <c r="G201" s="6">
        <f t="shared" ref="G201:Q201" si="370">G202*365</f>
        <v>365</v>
      </c>
      <c r="H201" s="6">
        <f t="shared" si="370"/>
        <v>693.5</v>
      </c>
      <c r="I201" s="6">
        <f t="shared" si="370"/>
        <v>1021.9999999999999</v>
      </c>
      <c r="J201" s="6">
        <f>J202*366</f>
        <v>1354.1999999999998</v>
      </c>
      <c r="K201" s="6">
        <f t="shared" si="370"/>
        <v>1678.9999999999998</v>
      </c>
      <c r="L201" s="6">
        <f t="shared" si="370"/>
        <v>2007.5</v>
      </c>
      <c r="M201" s="6">
        <f t="shared" si="370"/>
        <v>2336</v>
      </c>
      <c r="N201" s="6">
        <f t="shared" ref="N201" si="371">N202*366</f>
        <v>2671.8</v>
      </c>
      <c r="O201" s="6">
        <f t="shared" si="370"/>
        <v>2993.0000000000005</v>
      </c>
      <c r="P201" s="6">
        <f t="shared" si="370"/>
        <v>3139</v>
      </c>
      <c r="Q201" s="6">
        <f t="shared" si="370"/>
        <v>3139</v>
      </c>
      <c r="R201" s="6">
        <f>R202*366</f>
        <v>3147.6</v>
      </c>
    </row>
    <row r="202" spans="1:19" ht="15.6">
      <c r="B202" s="4" t="s">
        <v>12</v>
      </c>
      <c r="C202" s="34">
        <f>C201/365</f>
        <v>0.57232876712328773</v>
      </c>
      <c r="D202" s="34">
        <f>D201/365</f>
        <v>1.3734246575342466</v>
      </c>
      <c r="E202" s="7">
        <f>E201/365</f>
        <v>0.6795580110497238</v>
      </c>
      <c r="F202" s="16">
        <v>1</v>
      </c>
      <c r="G202" s="16">
        <v>1</v>
      </c>
      <c r="H202" s="16">
        <f>+G202+0.9</f>
        <v>1.9</v>
      </c>
      <c r="I202" s="16">
        <f t="shared" ref="I202:N202" si="372">+H202+0.9</f>
        <v>2.8</v>
      </c>
      <c r="J202" s="16">
        <f t="shared" si="372"/>
        <v>3.6999999999999997</v>
      </c>
      <c r="K202" s="16">
        <f t="shared" si="372"/>
        <v>4.5999999999999996</v>
      </c>
      <c r="L202" s="16">
        <f t="shared" si="372"/>
        <v>5.5</v>
      </c>
      <c r="M202" s="16">
        <f t="shared" si="372"/>
        <v>6.4</v>
      </c>
      <c r="N202" s="16">
        <f t="shared" si="372"/>
        <v>7.3000000000000007</v>
      </c>
      <c r="O202" s="16">
        <f>+N202+0.9</f>
        <v>8.2000000000000011</v>
      </c>
      <c r="P202" s="16">
        <v>8.6</v>
      </c>
      <c r="Q202" s="16">
        <v>8.6</v>
      </c>
      <c r="R202" s="16">
        <v>8.6</v>
      </c>
      <c r="S202" s="32"/>
    </row>
    <row r="205" spans="1:19" ht="15.6">
      <c r="A205" s="43">
        <v>15</v>
      </c>
      <c r="B205" s="54" t="s">
        <v>43</v>
      </c>
      <c r="C205" s="54"/>
      <c r="D205" s="65"/>
      <c r="E205" s="65"/>
      <c r="F205" s="65"/>
      <c r="G205" s="65"/>
      <c r="H205" s="65"/>
      <c r="I205" s="65"/>
      <c r="J205" s="65"/>
      <c r="K205" s="65"/>
      <c r="L205" s="65"/>
      <c r="M205" s="65"/>
      <c r="N205" s="65"/>
      <c r="O205" s="65"/>
      <c r="P205" s="65"/>
    </row>
    <row r="206" spans="1:19">
      <c r="B206" s="2" t="s">
        <v>1</v>
      </c>
      <c r="C206" s="18">
        <v>2021</v>
      </c>
      <c r="D206" s="18">
        <v>2022</v>
      </c>
      <c r="E206" s="18" t="s">
        <v>2</v>
      </c>
      <c r="F206" s="18">
        <v>2024</v>
      </c>
      <c r="G206" s="18">
        <v>2025</v>
      </c>
      <c r="H206" s="18">
        <v>2026</v>
      </c>
      <c r="I206" s="18">
        <v>2027</v>
      </c>
      <c r="J206" s="18">
        <v>2028</v>
      </c>
      <c r="K206" s="18">
        <v>2029</v>
      </c>
      <c r="L206" s="18">
        <v>2030</v>
      </c>
      <c r="M206" s="18">
        <v>2031</v>
      </c>
      <c r="N206" s="18">
        <v>2032</v>
      </c>
      <c r="O206" s="19">
        <v>2033</v>
      </c>
      <c r="P206" s="19">
        <v>2034</v>
      </c>
      <c r="Q206" s="19">
        <v>2035</v>
      </c>
      <c r="R206" s="19">
        <v>2036</v>
      </c>
    </row>
    <row r="207" spans="1:19">
      <c r="B207" s="4" t="s">
        <v>3</v>
      </c>
      <c r="C207" s="4">
        <v>142</v>
      </c>
      <c r="D207" s="4">
        <v>116</v>
      </c>
      <c r="E207" s="6">
        <v>116</v>
      </c>
      <c r="F207" s="6">
        <v>319.81599999999929</v>
      </c>
      <c r="G207" s="6">
        <v>400.91199999999901</v>
      </c>
      <c r="H207" s="6">
        <v>482.00799999999873</v>
      </c>
      <c r="I207" s="6">
        <v>555.29199999999844</v>
      </c>
      <c r="J207" s="6">
        <v>624.97599999999818</v>
      </c>
      <c r="K207" s="6">
        <v>694.65999999999792</v>
      </c>
      <c r="L207" s="6">
        <v>826.8399999999973</v>
      </c>
      <c r="M207" s="6">
        <v>959.01999999999668</v>
      </c>
      <c r="N207" s="6">
        <v>1091.1999999999962</v>
      </c>
      <c r="O207" s="6">
        <v>1091.1999999999962</v>
      </c>
      <c r="P207" s="6">
        <v>1091.1999999999962</v>
      </c>
      <c r="Q207" s="6">
        <v>1091.1999999999962</v>
      </c>
      <c r="R207" s="6">
        <v>1091.1999999999962</v>
      </c>
    </row>
    <row r="208" spans="1:19">
      <c r="B208" s="4" t="s">
        <v>4</v>
      </c>
      <c r="C208" s="6">
        <f>C207*C209/100</f>
        <v>139.16</v>
      </c>
      <c r="D208" s="6">
        <f>D207*D209/100</f>
        <v>112.52</v>
      </c>
      <c r="E208" s="6">
        <f t="shared" ref="E208" si="373">E207*E209/100</f>
        <v>114.60799999999999</v>
      </c>
      <c r="F208" s="6">
        <f t="shared" ref="F208" si="374">F207*F209/100</f>
        <v>316.93765599999932</v>
      </c>
      <c r="G208" s="6">
        <f t="shared" ref="G208" si="375">G207*G209/100</f>
        <v>398.10561599999897</v>
      </c>
      <c r="H208" s="6">
        <f t="shared" ref="H208" si="376">H207*H209/100</f>
        <v>479.1159519999988</v>
      </c>
      <c r="I208" s="6">
        <f t="shared" ref="I208" si="377">I207*I209/100</f>
        <v>552.5155399999984</v>
      </c>
      <c r="J208" s="6">
        <f t="shared" ref="J208" si="378">J207*J209/100</f>
        <v>621.85111999999822</v>
      </c>
      <c r="K208" s="6">
        <f t="shared" ref="K208" si="379">K207*K209/100</f>
        <v>691.88135999999793</v>
      </c>
      <c r="L208" s="6">
        <f t="shared" ref="L208" si="380">L207*L209/100</f>
        <v>824.35947999999723</v>
      </c>
      <c r="M208" s="6">
        <f t="shared" ref="M208" si="381">M207*M209/100</f>
        <v>956.14293999999677</v>
      </c>
      <c r="N208" s="6">
        <f t="shared" ref="N208" si="382">N207*N209/100</f>
        <v>1087.9263999999962</v>
      </c>
      <c r="O208" s="6">
        <f t="shared" ref="O208" si="383">O207*O209/100</f>
        <v>1087.9263999999962</v>
      </c>
      <c r="P208" s="6">
        <f t="shared" ref="P208" si="384">P207*P209/100</f>
        <v>1087.9263999999962</v>
      </c>
      <c r="Q208" s="6">
        <f t="shared" ref="Q208" si="385">Q207*Q209/100</f>
        <v>1087.9263999999962</v>
      </c>
      <c r="R208" s="6">
        <f t="shared" ref="R208" si="386">R207*R209/100</f>
        <v>1087.9263999999962</v>
      </c>
    </row>
    <row r="209" spans="1:19">
      <c r="B209" s="4" t="s">
        <v>5</v>
      </c>
      <c r="C209" s="7">
        <v>98</v>
      </c>
      <c r="D209" s="7">
        <v>97</v>
      </c>
      <c r="E209" s="7">
        <v>98.8</v>
      </c>
      <c r="F209" s="7">
        <v>99.1</v>
      </c>
      <c r="G209" s="7">
        <v>99.3</v>
      </c>
      <c r="H209" s="7">
        <v>99.4</v>
      </c>
      <c r="I209" s="7">
        <v>99.5</v>
      </c>
      <c r="J209" s="7">
        <v>99.5</v>
      </c>
      <c r="K209" s="7">
        <v>99.6</v>
      </c>
      <c r="L209" s="7">
        <v>99.7</v>
      </c>
      <c r="M209" s="7">
        <v>99.7</v>
      </c>
      <c r="N209" s="7">
        <v>99.7</v>
      </c>
      <c r="O209" s="7">
        <v>99.7</v>
      </c>
      <c r="P209" s="7">
        <v>99.7</v>
      </c>
      <c r="Q209" s="7">
        <v>99.7</v>
      </c>
      <c r="R209" s="7">
        <v>99.7</v>
      </c>
    </row>
    <row r="210" spans="1:19">
      <c r="B210" s="4" t="s">
        <v>6</v>
      </c>
      <c r="C210" s="3">
        <f>C214/C208*1000</f>
        <v>116.43087487744471</v>
      </c>
      <c r="D210" s="3">
        <f>D214/D208*1000</f>
        <v>144.37128985288462</v>
      </c>
      <c r="E210" s="3">
        <f>+D210-1</f>
        <v>143.37128985288462</v>
      </c>
      <c r="F210" s="3">
        <f t="shared" ref="F210:R210" si="387">+E210-1</f>
        <v>142.37128985288462</v>
      </c>
      <c r="G210" s="3">
        <f t="shared" si="387"/>
        <v>141.37128985288462</v>
      </c>
      <c r="H210" s="3">
        <f t="shared" si="387"/>
        <v>140.37128985288462</v>
      </c>
      <c r="I210" s="3">
        <f t="shared" si="387"/>
        <v>139.37128985288462</v>
      </c>
      <c r="J210" s="3">
        <f t="shared" si="387"/>
        <v>138.37128985288462</v>
      </c>
      <c r="K210" s="3">
        <f t="shared" si="387"/>
        <v>137.37128985288462</v>
      </c>
      <c r="L210" s="3">
        <f t="shared" si="387"/>
        <v>136.37128985288462</v>
      </c>
      <c r="M210" s="3">
        <f t="shared" si="387"/>
        <v>135.37128985288462</v>
      </c>
      <c r="N210" s="3">
        <f t="shared" si="387"/>
        <v>134.37128985288462</v>
      </c>
      <c r="O210" s="3">
        <f t="shared" si="387"/>
        <v>133.37128985288462</v>
      </c>
      <c r="P210" s="3">
        <f t="shared" si="387"/>
        <v>132.37128985288462</v>
      </c>
      <c r="Q210" s="3">
        <f t="shared" si="387"/>
        <v>131.37128985288462</v>
      </c>
      <c r="R210" s="3">
        <f t="shared" si="387"/>
        <v>130.37128985288462</v>
      </c>
    </row>
    <row r="211" spans="1:19" ht="15.6">
      <c r="B211" s="4" t="s">
        <v>7</v>
      </c>
      <c r="C211" s="10">
        <f>+C213+C215</f>
        <v>5913.92</v>
      </c>
      <c r="D211" s="10">
        <f>+D213+D215</f>
        <v>5929.3</v>
      </c>
      <c r="E211" s="10">
        <f t="shared" ref="E211" si="388">+E213+E215</f>
        <v>6021.4917127071822</v>
      </c>
      <c r="F211" s="10">
        <f>F212*365</f>
        <v>16469.830353999456</v>
      </c>
      <c r="G211" s="10">
        <f t="shared" ref="G211" si="389">G212*365</f>
        <v>20542.457117532918</v>
      </c>
      <c r="H211" s="10">
        <f t="shared" ref="H211" si="390">H212*365</f>
        <v>24547.755322536395</v>
      </c>
      <c r="I211" s="10">
        <f t="shared" ref="I211" si="391">I212*365</f>
        <v>28106.753267850439</v>
      </c>
      <c r="J211" s="10">
        <f t="shared" ref="J211" si="392">J212*365</f>
        <v>36881.914673364154</v>
      </c>
      <c r="K211" s="10">
        <f t="shared" ref="K211" si="393">K212*365</f>
        <v>41991.291719654226</v>
      </c>
      <c r="L211" s="10">
        <f t="shared" ref="L211" si="394">L212*365</f>
        <v>50157.922440369293</v>
      </c>
      <c r="M211" s="10">
        <f t="shared" ref="M211" si="395">M212*365</f>
        <v>58193.520621108022</v>
      </c>
      <c r="N211" s="10">
        <f t="shared" ref="N211" si="396">N212*365</f>
        <v>66132.916876046729</v>
      </c>
      <c r="O211" s="10">
        <f t="shared" ref="O211" si="397">O212*365</f>
        <v>67560.823740046733</v>
      </c>
      <c r="P211" s="10">
        <f t="shared" ref="P211" si="398">P212*365</f>
        <v>72638.730604046752</v>
      </c>
      <c r="Q211" s="10">
        <f t="shared" ref="Q211" si="399">Q212*365</f>
        <v>77716.637468046742</v>
      </c>
      <c r="R211" s="10">
        <f t="shared" ref="R211" si="400">R212*365</f>
        <v>84619.544332046746</v>
      </c>
    </row>
    <row r="212" spans="1:19" ht="15.6">
      <c r="B212" s="4" t="s">
        <v>8</v>
      </c>
      <c r="C212" s="6">
        <f t="shared" ref="C212:E212" si="401">C214+C216</f>
        <v>16.202520547945205</v>
      </c>
      <c r="D212" s="6">
        <f t="shared" si="401"/>
        <v>16.244657534246574</v>
      </c>
      <c r="E212" s="6">
        <f t="shared" si="401"/>
        <v>16.497237569060772</v>
      </c>
      <c r="F212" s="6">
        <f>F214+F216+F217</f>
        <v>45.122822887669741</v>
      </c>
      <c r="G212" s="6">
        <f t="shared" ref="G212:R212" si="402">G214+G216+G217</f>
        <v>56.280704431597037</v>
      </c>
      <c r="H212" s="6">
        <f t="shared" si="402"/>
        <v>67.254124171332592</v>
      </c>
      <c r="I212" s="6">
        <f t="shared" si="402"/>
        <v>77.004803473562845</v>
      </c>
      <c r="J212" s="6">
        <f t="shared" si="402"/>
        <v>101.04634157086069</v>
      </c>
      <c r="K212" s="6">
        <f t="shared" si="402"/>
        <v>115.04463484836774</v>
      </c>
      <c r="L212" s="6">
        <f t="shared" si="402"/>
        <v>137.41896559005286</v>
      </c>
      <c r="M212" s="6">
        <f t="shared" si="402"/>
        <v>159.43430307152883</v>
      </c>
      <c r="N212" s="6">
        <f t="shared" si="402"/>
        <v>181.18607363300475</v>
      </c>
      <c r="O212" s="6">
        <f t="shared" si="402"/>
        <v>185.09814723300477</v>
      </c>
      <c r="P212" s="6">
        <f t="shared" si="402"/>
        <v>199.01022083300478</v>
      </c>
      <c r="Q212" s="6">
        <f t="shared" si="402"/>
        <v>212.92229443300477</v>
      </c>
      <c r="R212" s="6">
        <f t="shared" si="402"/>
        <v>231.83436803300478</v>
      </c>
    </row>
    <row r="213" spans="1:19" ht="15.6">
      <c r="B213" s="4" t="s">
        <v>9</v>
      </c>
      <c r="C213" s="6">
        <v>5913.92</v>
      </c>
      <c r="D213" s="6">
        <v>5929.3</v>
      </c>
      <c r="E213" s="6">
        <f>2986/181*365</f>
        <v>6021.4917127071822</v>
      </c>
      <c r="F213" s="6">
        <f>F214*366</f>
        <v>16514.953176887124</v>
      </c>
      <c r="G213" s="6">
        <f t="shared" ref="G213:Q213" si="403">G214*365</f>
        <v>20542.457117532918</v>
      </c>
      <c r="H213" s="6">
        <f t="shared" si="403"/>
        <v>24547.755322536395</v>
      </c>
      <c r="I213" s="6">
        <f t="shared" si="403"/>
        <v>28106.753267850439</v>
      </c>
      <c r="J213" s="6">
        <f>J214*366</f>
        <v>31492.961014935012</v>
      </c>
      <c r="K213" s="6">
        <f>K214*366</f>
        <v>34786.336354502593</v>
      </c>
      <c r="L213" s="6">
        <f t="shared" ref="L213" si="404">L214*366</f>
        <v>41145.341405959349</v>
      </c>
      <c r="M213" s="6">
        <f t="shared" ref="M213" si="405">M214*366</f>
        <v>47372.954924179554</v>
      </c>
      <c r="N213" s="6">
        <f t="shared" ref="N213" si="406">N214*366</f>
        <v>53504.102949679742</v>
      </c>
      <c r="O213" s="6">
        <f t="shared" si="403"/>
        <v>52960.823740046741</v>
      </c>
      <c r="P213" s="6">
        <f t="shared" si="403"/>
        <v>52563.730604046745</v>
      </c>
      <c r="Q213" s="6">
        <f t="shared" si="403"/>
        <v>52166.637468046742</v>
      </c>
      <c r="R213" s="6">
        <f>R214*366</f>
        <v>51911.378700079746</v>
      </c>
    </row>
    <row r="214" spans="1:19" ht="15.6">
      <c r="B214" s="4" t="s">
        <v>10</v>
      </c>
      <c r="C214" s="13">
        <f>C213/365</f>
        <v>16.202520547945205</v>
      </c>
      <c r="D214" s="13">
        <f>D213/365</f>
        <v>16.244657534246574</v>
      </c>
      <c r="E214" s="13">
        <f>E213/365</f>
        <v>16.497237569060772</v>
      </c>
      <c r="F214" s="6">
        <f t="shared" ref="F214:R214" si="407">F208*F210/1000</f>
        <v>45.122822887669741</v>
      </c>
      <c r="G214" s="6">
        <f t="shared" si="407"/>
        <v>56.280704431597037</v>
      </c>
      <c r="H214" s="6">
        <f t="shared" si="407"/>
        <v>67.254124171332592</v>
      </c>
      <c r="I214" s="6">
        <f t="shared" si="407"/>
        <v>77.004803473562845</v>
      </c>
      <c r="J214" s="6">
        <f t="shared" si="407"/>
        <v>86.04634157086069</v>
      </c>
      <c r="K214" s="6">
        <f t="shared" si="407"/>
        <v>95.044634848367735</v>
      </c>
      <c r="L214" s="6">
        <f t="shared" si="407"/>
        <v>112.41896559005286</v>
      </c>
      <c r="M214" s="6">
        <f t="shared" si="407"/>
        <v>129.43430307152883</v>
      </c>
      <c r="N214" s="6">
        <f t="shared" si="407"/>
        <v>146.18607363300475</v>
      </c>
      <c r="O214" s="6">
        <f t="shared" si="407"/>
        <v>145.09814723300477</v>
      </c>
      <c r="P214" s="6">
        <f t="shared" si="407"/>
        <v>144.01022083300478</v>
      </c>
      <c r="Q214" s="6">
        <f t="shared" si="407"/>
        <v>142.92229443300477</v>
      </c>
      <c r="R214" s="6">
        <f t="shared" si="407"/>
        <v>141.83436803300478</v>
      </c>
    </row>
    <row r="215" spans="1:19" ht="15.6">
      <c r="B215" s="4" t="s">
        <v>11</v>
      </c>
      <c r="C215" s="13">
        <v>0</v>
      </c>
      <c r="D215" s="13">
        <v>0</v>
      </c>
      <c r="E215" s="6">
        <v>0</v>
      </c>
      <c r="F215" s="6">
        <f>F216*366</f>
        <v>0</v>
      </c>
      <c r="G215" s="6">
        <f t="shared" ref="G215:Q215" si="408">G216*365</f>
        <v>0</v>
      </c>
      <c r="H215" s="6">
        <f t="shared" si="408"/>
        <v>0</v>
      </c>
      <c r="I215" s="6">
        <f t="shared" si="408"/>
        <v>0</v>
      </c>
      <c r="J215" s="6">
        <f>J216*366</f>
        <v>5490</v>
      </c>
      <c r="K215" s="6">
        <f t="shared" si="408"/>
        <v>7300</v>
      </c>
      <c r="L215" s="6">
        <f t="shared" si="408"/>
        <v>9125</v>
      </c>
      <c r="M215" s="6">
        <f t="shared" si="408"/>
        <v>10950</v>
      </c>
      <c r="N215" s="6">
        <f t="shared" ref="N215" si="409">N216*366</f>
        <v>12810</v>
      </c>
      <c r="O215" s="6">
        <f t="shared" si="408"/>
        <v>14600</v>
      </c>
      <c r="P215" s="6">
        <f t="shared" si="408"/>
        <v>14600</v>
      </c>
      <c r="Q215" s="6">
        <f t="shared" si="408"/>
        <v>20075</v>
      </c>
      <c r="R215" s="6">
        <f>R216*366</f>
        <v>25620</v>
      </c>
    </row>
    <row r="216" spans="1:19" ht="15.6">
      <c r="B216" s="4" t="s">
        <v>12</v>
      </c>
      <c r="C216" s="36">
        <f>C215/365</f>
        <v>0</v>
      </c>
      <c r="D216" s="36">
        <f>D215/365</f>
        <v>0</v>
      </c>
      <c r="E216" s="6">
        <f>E215/181</f>
        <v>0</v>
      </c>
      <c r="F216" s="36">
        <v>0</v>
      </c>
      <c r="G216" s="36">
        <v>0</v>
      </c>
      <c r="H216" s="36">
        <v>0</v>
      </c>
      <c r="I216" s="36">
        <v>0</v>
      </c>
      <c r="J216" s="36">
        <v>15</v>
      </c>
      <c r="K216" s="36">
        <f>+J216+5</f>
        <v>20</v>
      </c>
      <c r="L216" s="36">
        <f t="shared" ref="L216:O216" si="410">+K216+5</f>
        <v>25</v>
      </c>
      <c r="M216" s="36">
        <f t="shared" si="410"/>
        <v>30</v>
      </c>
      <c r="N216" s="36">
        <f t="shared" si="410"/>
        <v>35</v>
      </c>
      <c r="O216" s="36">
        <f t="shared" si="410"/>
        <v>40</v>
      </c>
      <c r="P216" s="36">
        <v>40</v>
      </c>
      <c r="Q216" s="36">
        <v>55</v>
      </c>
      <c r="R216" s="36">
        <v>70</v>
      </c>
      <c r="S216" s="32"/>
    </row>
    <row r="217" spans="1:19" ht="28.9">
      <c r="B217" s="4" t="s">
        <v>13</v>
      </c>
      <c r="C217" s="6"/>
      <c r="D217" s="6"/>
      <c r="E217" s="6"/>
      <c r="F217" s="6"/>
      <c r="G217" s="6"/>
      <c r="H217" s="6"/>
      <c r="I217" s="6"/>
      <c r="J217" s="13"/>
      <c r="K217" s="13"/>
      <c r="L217" s="13"/>
      <c r="M217" s="13"/>
      <c r="N217" s="13"/>
      <c r="O217" s="13"/>
      <c r="P217" s="13">
        <v>15</v>
      </c>
      <c r="Q217" s="13">
        <v>15</v>
      </c>
      <c r="R217" s="13">
        <v>20</v>
      </c>
      <c r="S217" s="32"/>
    </row>
    <row r="220" spans="1:19" ht="15.6">
      <c r="A220" s="43">
        <v>16</v>
      </c>
      <c r="B220" s="54" t="s">
        <v>44</v>
      </c>
      <c r="C220" s="54"/>
      <c r="D220" s="65"/>
      <c r="E220" s="65"/>
      <c r="F220" s="65"/>
      <c r="G220" s="65"/>
      <c r="H220" s="65"/>
      <c r="I220" s="65"/>
      <c r="J220" s="65"/>
      <c r="K220" s="65"/>
      <c r="L220" s="65"/>
      <c r="M220" s="65"/>
      <c r="N220" s="65"/>
      <c r="O220" s="65"/>
      <c r="P220" s="65"/>
    </row>
    <row r="221" spans="1:19">
      <c r="B221" s="2" t="s">
        <v>1</v>
      </c>
      <c r="C221" s="18">
        <v>2021</v>
      </c>
      <c r="D221" s="18">
        <v>2022</v>
      </c>
      <c r="E221" s="18" t="s">
        <v>2</v>
      </c>
      <c r="F221" s="18">
        <v>2024</v>
      </c>
      <c r="G221" s="18">
        <v>2025</v>
      </c>
      <c r="H221" s="18">
        <v>2026</v>
      </c>
      <c r="I221" s="18">
        <v>2027</v>
      </c>
      <c r="J221" s="18">
        <v>2028</v>
      </c>
      <c r="K221" s="18">
        <v>2029</v>
      </c>
      <c r="L221" s="18">
        <v>2030</v>
      </c>
      <c r="M221" s="18">
        <v>2031</v>
      </c>
      <c r="N221" s="18">
        <v>2032</v>
      </c>
      <c r="O221" s="19">
        <v>2033</v>
      </c>
      <c r="P221" s="19">
        <v>2034</v>
      </c>
      <c r="Q221" s="19">
        <v>2035</v>
      </c>
      <c r="R221" s="19">
        <v>2036</v>
      </c>
    </row>
    <row r="222" spans="1:19">
      <c r="B222" s="4" t="s">
        <v>3</v>
      </c>
      <c r="C222" s="4">
        <v>466</v>
      </c>
      <c r="D222" s="4">
        <v>473</v>
      </c>
      <c r="E222" s="6">
        <v>467.96</v>
      </c>
      <c r="F222" s="6">
        <v>469.91999999999996</v>
      </c>
      <c r="G222" s="6">
        <v>471.68399999999997</v>
      </c>
      <c r="H222" s="6">
        <v>473.44799999999998</v>
      </c>
      <c r="I222" s="6">
        <v>475.21199999999999</v>
      </c>
      <c r="J222" s="6">
        <v>476.976</v>
      </c>
      <c r="K222" s="6">
        <v>478.74</v>
      </c>
      <c r="L222" s="6">
        <v>480.50400000000002</v>
      </c>
      <c r="M222" s="6">
        <v>482.26800000000003</v>
      </c>
      <c r="N222" s="6">
        <v>484.03200000000004</v>
      </c>
      <c r="O222" s="6">
        <v>485.6</v>
      </c>
      <c r="P222" s="6">
        <v>485.6</v>
      </c>
      <c r="Q222" s="6">
        <v>485.6</v>
      </c>
      <c r="R222" s="6">
        <v>485.6</v>
      </c>
    </row>
    <row r="223" spans="1:19">
      <c r="B223" s="4" t="s">
        <v>4</v>
      </c>
      <c r="C223" s="6">
        <f>C222*C224/100</f>
        <v>466</v>
      </c>
      <c r="D223" s="6">
        <f>D222*D224/100</f>
        <v>473</v>
      </c>
      <c r="E223" s="6">
        <f t="shared" ref="E223" si="411">E222*E224/100</f>
        <v>466.08816000000002</v>
      </c>
      <c r="F223" s="6">
        <f t="shared" ref="F223" si="412">F222*F224/100</f>
        <v>466.16064</v>
      </c>
      <c r="G223" s="6">
        <f t="shared" ref="G223" si="413">G222*G224/100</f>
        <v>466.495476</v>
      </c>
      <c r="H223" s="6">
        <f t="shared" ref="H223" si="414">H222*H224/100</f>
        <v>466.81972799999994</v>
      </c>
      <c r="I223" s="6">
        <f t="shared" ref="I223" si="415">I222*I224/100</f>
        <v>466.65818400000006</v>
      </c>
      <c r="J223" s="6">
        <f t="shared" ref="J223" si="416">J222*J224/100</f>
        <v>466.95950400000004</v>
      </c>
      <c r="K223" s="6">
        <f t="shared" ref="K223" si="417">K222*K224/100</f>
        <v>467.25023999999996</v>
      </c>
      <c r="L223" s="6">
        <f t="shared" ref="L223" si="418">L222*L224/100</f>
        <v>467.53039200000001</v>
      </c>
      <c r="M223" s="6">
        <f t="shared" ref="M223" si="419">M222*M224/100</f>
        <v>467.31769200000002</v>
      </c>
      <c r="N223" s="6">
        <f t="shared" ref="N223" si="420">N222*N224/100</f>
        <v>467.57491200000004</v>
      </c>
      <c r="O223" s="6">
        <f t="shared" ref="O223" si="421">O222*O224/100</f>
        <v>467.63279999999997</v>
      </c>
      <c r="P223" s="6">
        <f t="shared" ref="P223" si="422">P222*P224/100</f>
        <v>467.63279999999997</v>
      </c>
      <c r="Q223" s="6">
        <f t="shared" ref="Q223" si="423">Q222*Q224/100</f>
        <v>467.63279999999997</v>
      </c>
      <c r="R223" s="6">
        <f t="shared" ref="R223" si="424">R222*R224/100</f>
        <v>467.63279999999997</v>
      </c>
    </row>
    <row r="224" spans="1:19">
      <c r="B224" s="4" t="s">
        <v>5</v>
      </c>
      <c r="C224" s="7">
        <v>100</v>
      </c>
      <c r="D224" s="7">
        <v>100</v>
      </c>
      <c r="E224" s="7">
        <v>99.6</v>
      </c>
      <c r="F224" s="7">
        <v>99.2</v>
      </c>
      <c r="G224" s="7">
        <v>98.9</v>
      </c>
      <c r="H224" s="7">
        <v>98.6</v>
      </c>
      <c r="I224" s="7">
        <v>98.2</v>
      </c>
      <c r="J224" s="7">
        <v>97.9</v>
      </c>
      <c r="K224" s="7">
        <v>97.6</v>
      </c>
      <c r="L224" s="7">
        <v>97.3</v>
      </c>
      <c r="M224" s="7">
        <v>96.9</v>
      </c>
      <c r="N224" s="7">
        <v>96.6</v>
      </c>
      <c r="O224" s="7">
        <v>96.3</v>
      </c>
      <c r="P224" s="7">
        <v>96.3</v>
      </c>
      <c r="Q224" s="7">
        <v>96.3</v>
      </c>
      <c r="R224" s="7">
        <v>96.3</v>
      </c>
    </row>
    <row r="225" spans="1:19">
      <c r="B225" s="4" t="s">
        <v>6</v>
      </c>
      <c r="C225" s="3">
        <f>C229/C223*1000</f>
        <v>0</v>
      </c>
      <c r="D225" s="3">
        <f>D229/D223*1000</f>
        <v>0</v>
      </c>
      <c r="E225" s="3">
        <v>113.02153874083589</v>
      </c>
      <c r="F225" s="3">
        <v>113.52000025934761</v>
      </c>
      <c r="G225" s="3">
        <v>114.01846177785933</v>
      </c>
      <c r="H225" s="3">
        <v>114.51692329637105</v>
      </c>
      <c r="I225" s="3">
        <v>115.01538481488276</v>
      </c>
      <c r="J225" s="3">
        <v>115.51384633339448</v>
      </c>
      <c r="K225" s="3">
        <v>116.0123078519062</v>
      </c>
      <c r="L225" s="3">
        <v>116.51076937041792</v>
      </c>
      <c r="M225" s="3">
        <v>117.00923088892964</v>
      </c>
      <c r="N225" s="3">
        <v>117.50769240744135</v>
      </c>
      <c r="O225" s="3">
        <v>118.00615392595307</v>
      </c>
      <c r="P225" s="3">
        <v>118.50461544446479</v>
      </c>
      <c r="Q225" s="3">
        <v>119.00307696297651</v>
      </c>
      <c r="R225" s="3">
        <v>119.50153848148823</v>
      </c>
    </row>
    <row r="226" spans="1:19" ht="15.6">
      <c r="B226" s="4" t="s">
        <v>7</v>
      </c>
      <c r="C226" s="10">
        <f>+C228+C230</f>
        <v>0</v>
      </c>
      <c r="D226" s="10">
        <f>+D228+D230</f>
        <v>0</v>
      </c>
      <c r="E226" s="10">
        <f t="shared" ref="E226" si="425">+E228+E230</f>
        <v>0</v>
      </c>
      <c r="F226" s="10">
        <f t="shared" ref="F226:R226" si="426">+F228+F230</f>
        <v>19368.19148637334</v>
      </c>
      <c r="G226" s="10">
        <f t="shared" si="426"/>
        <v>19414.020258945358</v>
      </c>
      <c r="H226" s="10">
        <f t="shared" si="426"/>
        <v>19512.447029382205</v>
      </c>
      <c r="I226" s="10">
        <f t="shared" si="426"/>
        <v>19590.597772567649</v>
      </c>
      <c r="J226" s="10">
        <f t="shared" si="426"/>
        <v>19742.145550364523</v>
      </c>
      <c r="K226" s="10">
        <f t="shared" si="426"/>
        <v>19839.680999353081</v>
      </c>
      <c r="L226" s="10">
        <f t="shared" si="426"/>
        <v>19936.871197406152</v>
      </c>
      <c r="M226" s="10">
        <f t="shared" si="426"/>
        <v>20013.057042145752</v>
      </c>
      <c r="N226" s="10">
        <f t="shared" si="426"/>
        <v>20109.375510844078</v>
      </c>
      <c r="O226" s="10">
        <f t="shared" si="426"/>
        <v>20141.995084832914</v>
      </c>
      <c r="P226" s="10">
        <f t="shared" si="426"/>
        <v>20227.075473624682</v>
      </c>
      <c r="Q226" s="10">
        <f t="shared" si="426"/>
        <v>20312.15586241645</v>
      </c>
      <c r="R226" s="10">
        <f t="shared" si="426"/>
        <v>20453.119090252625</v>
      </c>
    </row>
    <row r="227" spans="1:19" ht="15.6">
      <c r="B227" s="4" t="s">
        <v>8</v>
      </c>
      <c r="C227" s="6">
        <f t="shared" ref="C227:P227" si="427">C229+C231</f>
        <v>0</v>
      </c>
      <c r="D227" s="6">
        <f t="shared" si="427"/>
        <v>0</v>
      </c>
      <c r="E227" s="6">
        <f>E226/181</f>
        <v>0</v>
      </c>
      <c r="F227" s="6">
        <f t="shared" si="427"/>
        <v>52.91855597369765</v>
      </c>
      <c r="G227" s="6">
        <f t="shared" si="427"/>
        <v>53.189096599850295</v>
      </c>
      <c r="H227" s="6">
        <f t="shared" si="427"/>
        <v>53.458758984608785</v>
      </c>
      <c r="I227" s="6">
        <f t="shared" si="427"/>
        <v>53.672870609774378</v>
      </c>
      <c r="J227" s="6">
        <f t="shared" si="427"/>
        <v>53.94028838897411</v>
      </c>
      <c r="K227" s="6">
        <f t="shared" si="427"/>
        <v>54.206778686757055</v>
      </c>
      <c r="L227" s="6">
        <f t="shared" si="427"/>
        <v>54.472325675973089</v>
      </c>
      <c r="M227" s="6">
        <f t="shared" si="427"/>
        <v>54.680483721709706</v>
      </c>
      <c r="N227" s="6">
        <f t="shared" si="427"/>
        <v>54.943648936732458</v>
      </c>
      <c r="O227" s="6">
        <f t="shared" si="427"/>
        <v>55.183548177624424</v>
      </c>
      <c r="P227" s="6">
        <f t="shared" si="427"/>
        <v>55.41664513321831</v>
      </c>
      <c r="Q227" s="6">
        <f>Q229+Q231</f>
        <v>55.649742088812197</v>
      </c>
      <c r="R227" s="6">
        <f>R229+R231</f>
        <v>55.882839044406083</v>
      </c>
    </row>
    <row r="228" spans="1:19" ht="15.6">
      <c r="B228" s="4" t="s">
        <v>9</v>
      </c>
      <c r="C228" s="6">
        <v>0</v>
      </c>
      <c r="D228" s="6">
        <v>0</v>
      </c>
      <c r="E228" s="6">
        <v>0</v>
      </c>
      <c r="F228" s="6">
        <f>F229*366</f>
        <v>19368.19148637334</v>
      </c>
      <c r="G228" s="6">
        <f t="shared" ref="G228:Q228" si="428">G229*365</f>
        <v>19414.020258945358</v>
      </c>
      <c r="H228" s="6">
        <f t="shared" si="428"/>
        <v>19512.447029382205</v>
      </c>
      <c r="I228" s="6">
        <f t="shared" si="428"/>
        <v>19590.597772567649</v>
      </c>
      <c r="J228" s="6">
        <f>J229*366</f>
        <v>19742.145550364523</v>
      </c>
      <c r="K228" s="6">
        <f>K229*366</f>
        <v>19839.680999353081</v>
      </c>
      <c r="L228" s="6">
        <f t="shared" ref="L228" si="429">L229*366</f>
        <v>19936.871197406152</v>
      </c>
      <c r="M228" s="6">
        <f t="shared" ref="M228" si="430">M229*366</f>
        <v>20013.057042145752</v>
      </c>
      <c r="N228" s="6">
        <f t="shared" ref="N228" si="431">N229*366</f>
        <v>20109.375510844078</v>
      </c>
      <c r="O228" s="6">
        <f t="shared" si="428"/>
        <v>20141.995084832914</v>
      </c>
      <c r="P228" s="6">
        <f t="shared" si="428"/>
        <v>20227.075473624682</v>
      </c>
      <c r="Q228" s="6">
        <f t="shared" si="428"/>
        <v>20312.15586241645</v>
      </c>
      <c r="R228" s="6">
        <f>R229*366</f>
        <v>20453.119090252625</v>
      </c>
    </row>
    <row r="229" spans="1:19" ht="15.6">
      <c r="B229" s="4" t="s">
        <v>10</v>
      </c>
      <c r="C229" s="13">
        <f>C228/365</f>
        <v>0</v>
      </c>
      <c r="D229" s="13">
        <f>D228/365</f>
        <v>0</v>
      </c>
      <c r="E229" s="6">
        <f>E228/181</f>
        <v>0</v>
      </c>
      <c r="F229" s="6">
        <f t="shared" ref="F229:R229" si="432">F223*F225/1000</f>
        <v>52.91855597369765</v>
      </c>
      <c r="G229" s="6">
        <f t="shared" si="432"/>
        <v>53.189096599850295</v>
      </c>
      <c r="H229" s="6">
        <f t="shared" si="432"/>
        <v>53.458758984608785</v>
      </c>
      <c r="I229" s="6">
        <f t="shared" si="432"/>
        <v>53.672870609774378</v>
      </c>
      <c r="J229" s="6">
        <f t="shared" si="432"/>
        <v>53.94028838897411</v>
      </c>
      <c r="K229" s="6">
        <f t="shared" si="432"/>
        <v>54.206778686757055</v>
      </c>
      <c r="L229" s="6">
        <f t="shared" si="432"/>
        <v>54.472325675973089</v>
      </c>
      <c r="M229" s="6">
        <f t="shared" si="432"/>
        <v>54.680483721709706</v>
      </c>
      <c r="N229" s="6">
        <f t="shared" si="432"/>
        <v>54.943648936732458</v>
      </c>
      <c r="O229" s="6">
        <f t="shared" si="432"/>
        <v>55.183548177624424</v>
      </c>
      <c r="P229" s="6">
        <f t="shared" si="432"/>
        <v>55.41664513321831</v>
      </c>
      <c r="Q229" s="6">
        <f t="shared" si="432"/>
        <v>55.649742088812197</v>
      </c>
      <c r="R229" s="6">
        <f t="shared" si="432"/>
        <v>55.882839044406083</v>
      </c>
    </row>
    <row r="230" spans="1:19" ht="15.6">
      <c r="B230" s="4" t="s">
        <v>11</v>
      </c>
      <c r="C230" s="13">
        <v>0</v>
      </c>
      <c r="D230" s="13">
        <v>0</v>
      </c>
      <c r="E230" s="6">
        <v>0</v>
      </c>
      <c r="F230" s="6">
        <f>F231*366</f>
        <v>0</v>
      </c>
      <c r="G230" s="6">
        <f t="shared" ref="G230:Q230" si="433">G231*365</f>
        <v>0</v>
      </c>
      <c r="H230" s="6">
        <f t="shared" si="433"/>
        <v>0</v>
      </c>
      <c r="I230" s="6">
        <f t="shared" si="433"/>
        <v>0</v>
      </c>
      <c r="J230" s="6">
        <f>J231*366</f>
        <v>0</v>
      </c>
      <c r="K230" s="6">
        <f t="shared" si="433"/>
        <v>0</v>
      </c>
      <c r="L230" s="6">
        <f t="shared" si="433"/>
        <v>0</v>
      </c>
      <c r="M230" s="6">
        <f t="shared" si="433"/>
        <v>0</v>
      </c>
      <c r="N230" s="6">
        <f t="shared" ref="N230" si="434">N231*366</f>
        <v>0</v>
      </c>
      <c r="O230" s="6">
        <f t="shared" si="433"/>
        <v>0</v>
      </c>
      <c r="P230" s="6">
        <f t="shared" si="433"/>
        <v>0</v>
      </c>
      <c r="Q230" s="6">
        <f t="shared" si="433"/>
        <v>0</v>
      </c>
      <c r="R230" s="6">
        <f>R231*366</f>
        <v>0</v>
      </c>
    </row>
    <row r="231" spans="1:19" ht="15.6">
      <c r="B231" s="4" t="s">
        <v>12</v>
      </c>
      <c r="C231" s="36">
        <f>C230/365</f>
        <v>0</v>
      </c>
      <c r="D231" s="36">
        <f>D230/365</f>
        <v>0</v>
      </c>
      <c r="E231" s="6">
        <f>E230/181</f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32"/>
    </row>
    <row r="232" spans="1:19">
      <c r="S232" s="27"/>
    </row>
    <row r="234" spans="1:19" ht="15.6">
      <c r="A234" s="43">
        <v>17</v>
      </c>
      <c r="B234" s="42" t="s">
        <v>45</v>
      </c>
    </row>
    <row r="235" spans="1:19">
      <c r="B235" s="2" t="s">
        <v>1</v>
      </c>
      <c r="C235" s="18">
        <v>2021</v>
      </c>
      <c r="D235" s="18">
        <v>2022</v>
      </c>
      <c r="E235" s="18" t="s">
        <v>2</v>
      </c>
      <c r="F235" s="18">
        <v>2024</v>
      </c>
      <c r="G235" s="18">
        <v>2025</v>
      </c>
      <c r="H235" s="18">
        <v>2026</v>
      </c>
      <c r="I235" s="18">
        <v>2027</v>
      </c>
      <c r="J235" s="18">
        <v>2028</v>
      </c>
      <c r="K235" s="18">
        <v>2029</v>
      </c>
      <c r="L235" s="18">
        <v>2030</v>
      </c>
      <c r="M235" s="18">
        <v>2031</v>
      </c>
      <c r="N235" s="18">
        <v>2032</v>
      </c>
      <c r="O235" s="19">
        <v>2033</v>
      </c>
      <c r="P235" s="19">
        <v>2034</v>
      </c>
      <c r="Q235" s="19">
        <v>2035</v>
      </c>
      <c r="R235" s="19">
        <v>2036</v>
      </c>
    </row>
    <row r="236" spans="1:19" ht="12.75">
      <c r="B236" s="4" t="s">
        <v>3</v>
      </c>
      <c r="C236" s="57">
        <f t="shared" ref="C236:R236" si="435">+C4+C19+C34+C48+C62+C77+C91+C106+C121+C136+C150+C165+C179+C193+C207+C222</f>
        <v>20915</v>
      </c>
      <c r="D236" s="57">
        <f t="shared" si="435"/>
        <v>21590</v>
      </c>
      <c r="E236" s="57">
        <f t="shared" si="435"/>
        <v>22916.394</v>
      </c>
      <c r="F236" s="57">
        <f t="shared" si="435"/>
        <v>24698.719999999998</v>
      </c>
      <c r="G236" s="57">
        <f t="shared" si="435"/>
        <v>25930.926000000003</v>
      </c>
      <c r="H236" s="57">
        <f t="shared" si="435"/>
        <v>26969.4</v>
      </c>
      <c r="I236" s="57">
        <f t="shared" si="435"/>
        <v>27887.754000000001</v>
      </c>
      <c r="J236" s="57">
        <f t="shared" si="435"/>
        <v>28717.519999999997</v>
      </c>
      <c r="K236" s="57">
        <f t="shared" si="435"/>
        <v>29367.371999999999</v>
      </c>
      <c r="L236" s="57">
        <f t="shared" si="435"/>
        <v>29994.630000000005</v>
      </c>
      <c r="M236" s="57">
        <f t="shared" si="435"/>
        <v>30568.187999999998</v>
      </c>
      <c r="N236" s="57">
        <f t="shared" si="435"/>
        <v>31058.975999999999</v>
      </c>
      <c r="O236" s="57">
        <f t="shared" si="435"/>
        <v>31250.250000000004</v>
      </c>
      <c r="P236" s="57">
        <f t="shared" si="435"/>
        <v>31315.200000000001</v>
      </c>
      <c r="Q236" s="57">
        <f t="shared" si="435"/>
        <v>31348.2</v>
      </c>
      <c r="R236" s="57">
        <f t="shared" si="435"/>
        <v>31374.300000000003</v>
      </c>
    </row>
    <row r="237" spans="1:19" ht="12.75">
      <c r="B237" s="4" t="s">
        <v>4</v>
      </c>
      <c r="C237" s="57">
        <f t="shared" ref="C237:R237" si="436">+C5+C20+C35+C49+C63+C78+C92+C107+C122+C137+C151+C166+C180+C194+C208+C223</f>
        <v>20006.390000000003</v>
      </c>
      <c r="D237" s="57">
        <f t="shared" si="436"/>
        <v>20673.033000000007</v>
      </c>
      <c r="E237" s="57">
        <f t="shared" si="436"/>
        <v>21547.723119999999</v>
      </c>
      <c r="F237" s="57">
        <f t="shared" si="436"/>
        <v>23773.285641999995</v>
      </c>
      <c r="G237" s="57">
        <f t="shared" si="436"/>
        <v>24999.639912000002</v>
      </c>
      <c r="H237" s="57">
        <f t="shared" si="436"/>
        <v>26035.643781999996</v>
      </c>
      <c r="I237" s="57">
        <f t="shared" si="436"/>
        <v>26987.218870000001</v>
      </c>
      <c r="J237" s="57">
        <f t="shared" si="436"/>
        <v>27817.144711999994</v>
      </c>
      <c r="K237" s="57">
        <f t="shared" si="436"/>
        <v>28458.737072000007</v>
      </c>
      <c r="L237" s="57">
        <f t="shared" si="436"/>
        <v>29081.979592</v>
      </c>
      <c r="M237" s="57">
        <f t="shared" si="436"/>
        <v>29648.870692</v>
      </c>
      <c r="N237" s="57">
        <f t="shared" si="436"/>
        <v>30136.572608000002</v>
      </c>
      <c r="O237" s="57">
        <f t="shared" si="436"/>
        <v>30323.020220000002</v>
      </c>
      <c r="P237" s="57">
        <f t="shared" si="436"/>
        <v>30387.206320000001</v>
      </c>
      <c r="Q237" s="57">
        <f t="shared" si="436"/>
        <v>30418.925960000004</v>
      </c>
      <c r="R237" s="57">
        <f t="shared" si="436"/>
        <v>30444.472720000005</v>
      </c>
    </row>
    <row r="238" spans="1:19" ht="12.75">
      <c r="B238" s="4" t="s">
        <v>6</v>
      </c>
      <c r="C238" s="58"/>
      <c r="D238" s="58"/>
      <c r="E238" s="58">
        <v>113.02153874083589</v>
      </c>
      <c r="F238" s="58">
        <v>113.52000025934761</v>
      </c>
      <c r="G238" s="58">
        <v>114.01846177785933</v>
      </c>
      <c r="H238" s="58">
        <v>114.51692329637105</v>
      </c>
      <c r="I238" s="58">
        <v>115.01538481488276</v>
      </c>
      <c r="J238" s="58">
        <v>115.51384633339448</v>
      </c>
      <c r="K238" s="58">
        <v>116.0123078519062</v>
      </c>
      <c r="L238" s="58">
        <v>116.51076937041792</v>
      </c>
      <c r="M238" s="58">
        <v>117.00923088892964</v>
      </c>
      <c r="N238" s="58">
        <v>117.50769240744135</v>
      </c>
      <c r="O238" s="58">
        <v>118.00615392595307</v>
      </c>
      <c r="P238" s="58">
        <v>118.50461544446479</v>
      </c>
      <c r="Q238" s="58">
        <v>119.00307696297651</v>
      </c>
      <c r="R238" s="58">
        <v>119.50153848148823</v>
      </c>
    </row>
    <row r="239" spans="1:19" ht="12.75">
      <c r="B239" s="4" t="s">
        <v>7</v>
      </c>
      <c r="C239" s="57">
        <f t="shared" ref="C239:R239" si="437">+C8+C23+C38+C52+C66+C81+C95+C110+C125+C140+C154+C169+C183+C197+C211+C226</f>
        <v>1018112.4600000002</v>
      </c>
      <c r="D239" s="57">
        <f t="shared" si="437"/>
        <v>1016911.8199999998</v>
      </c>
      <c r="E239" s="57">
        <f t="shared" si="437"/>
        <v>1062434.949379538</v>
      </c>
      <c r="F239" s="57">
        <f t="shared" si="437"/>
        <v>1221391.4356541869</v>
      </c>
      <c r="G239" s="57">
        <f t="shared" si="437"/>
        <v>1300279.8199188048</v>
      </c>
      <c r="H239" s="57">
        <f t="shared" si="437"/>
        <v>1367360.6661806032</v>
      </c>
      <c r="I239" s="57">
        <f t="shared" si="437"/>
        <v>1442701.0889991596</v>
      </c>
      <c r="J239" s="57">
        <f t="shared" si="437"/>
        <v>1526871.3073175102</v>
      </c>
      <c r="K239" s="57">
        <f t="shared" si="437"/>
        <v>1580752.6952217943</v>
      </c>
      <c r="L239" s="57">
        <f t="shared" si="437"/>
        <v>1635004.7689590924</v>
      </c>
      <c r="M239" s="57">
        <f t="shared" si="437"/>
        <v>1685186.7990348535</v>
      </c>
      <c r="N239" s="57">
        <f t="shared" si="437"/>
        <v>1733711.6453347881</v>
      </c>
      <c r="O239" s="57">
        <f t="shared" si="437"/>
        <v>1758134.9810328672</v>
      </c>
      <c r="P239" s="57">
        <f t="shared" si="437"/>
        <v>1924021.2700858929</v>
      </c>
      <c r="Q239" s="57">
        <f t="shared" si="437"/>
        <v>2071336.7878269791</v>
      </c>
      <c r="R239" s="57">
        <f t="shared" si="437"/>
        <v>2221134.9225937692</v>
      </c>
    </row>
    <row r="240" spans="1:19" ht="12.75">
      <c r="B240" s="4" t="s">
        <v>8</v>
      </c>
      <c r="C240" s="57">
        <f t="shared" ref="C240:R240" si="438">+C9+C24+C39+C53+C67+C82+C96+C111+C126+C141+C155+C170+C184+C198+C212+C227</f>
        <v>2789.3492054794524</v>
      </c>
      <c r="D240" s="57">
        <f t="shared" si="438"/>
        <v>2785.7282469496213</v>
      </c>
      <c r="E240" s="57">
        <f t="shared" si="438"/>
        <v>2910.7806832316101</v>
      </c>
      <c r="F240" s="57">
        <f t="shared" si="438"/>
        <v>3344.3276826449005</v>
      </c>
      <c r="G240" s="57">
        <f t="shared" si="438"/>
        <v>3562.4104655309725</v>
      </c>
      <c r="H240" s="57">
        <f t="shared" si="438"/>
        <v>3746.1936059742552</v>
      </c>
      <c r="I240" s="57">
        <f t="shared" si="438"/>
        <v>3952.6057232853682</v>
      </c>
      <c r="J240" s="57">
        <f t="shared" si="438"/>
        <v>4181.0817405185599</v>
      </c>
      <c r="K240" s="57">
        <f t="shared" si="438"/>
        <v>4328.7185704029407</v>
      </c>
      <c r="L240" s="57">
        <f t="shared" si="438"/>
        <v>4477.3023819689342</v>
      </c>
      <c r="M240" s="57">
        <f t="shared" si="438"/>
        <v>4614.7385177314372</v>
      </c>
      <c r="N240" s="57">
        <f t="shared" si="438"/>
        <v>4747.5245652083049</v>
      </c>
      <c r="O240" s="57">
        <f t="shared" si="438"/>
        <v>4816.8081672133349</v>
      </c>
      <c r="P240" s="57">
        <f t="shared" si="438"/>
        <v>5271.2911509202522</v>
      </c>
      <c r="Q240" s="57">
        <f t="shared" si="438"/>
        <v>5674.8953091150106</v>
      </c>
      <c r="R240" s="57">
        <f t="shared" si="438"/>
        <v>6082.8048697256445</v>
      </c>
    </row>
    <row r="241" spans="2:20" ht="12.75">
      <c r="B241" s="4" t="s">
        <v>9</v>
      </c>
      <c r="C241" s="57">
        <f t="shared" ref="C241:E243" si="439">+C10+C25+C40+C54+C68+C83+C97+C112+C127+C142+C156+C171+C185+C199+C213+C228</f>
        <v>840315.13000000024</v>
      </c>
      <c r="D241" s="57">
        <f t="shared" si="439"/>
        <v>826600.07999999984</v>
      </c>
      <c r="E241" s="57">
        <f t="shared" si="439"/>
        <v>859297.32507014554</v>
      </c>
      <c r="F241" s="57">
        <f>F242*366</f>
        <v>1002523.6159646747</v>
      </c>
      <c r="G241" s="57">
        <f t="shared" ref="G241:Q241" si="440">G242*365</f>
        <v>1060112.5012244026</v>
      </c>
      <c r="H241" s="57">
        <f t="shared" si="440"/>
        <v>1112358.6657988427</v>
      </c>
      <c r="I241" s="57">
        <f t="shared" si="440"/>
        <v>1159857.9584850268</v>
      </c>
      <c r="J241" s="57">
        <f>J242*366</f>
        <v>1205846.5056689696</v>
      </c>
      <c r="K241" s="57">
        <f>K242*366</f>
        <v>1240669.9289524162</v>
      </c>
      <c r="L241" s="57">
        <f t="shared" ref="L241" si="441">L242*366</f>
        <v>1274861.2139855693</v>
      </c>
      <c r="M241" s="57">
        <f t="shared" ref="M241" si="442">M242*366</f>
        <v>1306382.9984375343</v>
      </c>
      <c r="N241" s="57">
        <f t="shared" ref="N241" si="443">N242*366</f>
        <v>1334443.1530511794</v>
      </c>
      <c r="O241" s="57">
        <f t="shared" si="440"/>
        <v>1344726.4138969327</v>
      </c>
      <c r="P241" s="57">
        <f t="shared" si="440"/>
        <v>1353679.8853407572</v>
      </c>
      <c r="Q241" s="57">
        <f t="shared" si="440"/>
        <v>1361434.8634211768</v>
      </c>
      <c r="R241" s="57">
        <f>R242*366</f>
        <v>1372030.2916868462</v>
      </c>
    </row>
    <row r="242" spans="2:20" ht="12.75">
      <c r="B242" s="4" t="s">
        <v>10</v>
      </c>
      <c r="C242" s="57">
        <f t="shared" si="439"/>
        <v>2302.2332328767129</v>
      </c>
      <c r="D242" s="57">
        <f t="shared" si="439"/>
        <v>2264.3279000673701</v>
      </c>
      <c r="E242" s="57">
        <f t="shared" si="439"/>
        <v>2354.2392467675218</v>
      </c>
      <c r="F242" s="57">
        <f t="shared" ref="F242:R242" si="444">+F11+F26+F41+F55+F69+F84+F98+F113+F128+F143+F157+F172+F186+F200+F214+F229</f>
        <v>2739.135562745013</v>
      </c>
      <c r="G242" s="57">
        <f t="shared" si="444"/>
        <v>2904.4178115737059</v>
      </c>
      <c r="H242" s="57">
        <f t="shared" si="444"/>
        <v>3047.5579884899798</v>
      </c>
      <c r="I242" s="57">
        <f t="shared" si="444"/>
        <v>3177.6930369452789</v>
      </c>
      <c r="J242" s="57">
        <f t="shared" si="444"/>
        <v>3294.6625837949987</v>
      </c>
      <c r="K242" s="57">
        <f t="shared" si="444"/>
        <v>3389.8085490503177</v>
      </c>
      <c r="L242" s="57">
        <f t="shared" si="444"/>
        <v>3483.2273606163094</v>
      </c>
      <c r="M242" s="57">
        <f t="shared" si="444"/>
        <v>3569.3524547473617</v>
      </c>
      <c r="N242" s="57">
        <f t="shared" si="444"/>
        <v>3646.0195438556811</v>
      </c>
      <c r="O242" s="57">
        <f t="shared" si="444"/>
        <v>3684.1819558820075</v>
      </c>
      <c r="P242" s="57">
        <f t="shared" si="444"/>
        <v>3708.7120146322113</v>
      </c>
      <c r="Q242" s="57">
        <f t="shared" si="444"/>
        <v>3729.9585299210321</v>
      </c>
      <c r="R242" s="57">
        <f t="shared" si="444"/>
        <v>3748.7166439531316</v>
      </c>
    </row>
    <row r="243" spans="2:20" ht="12.75">
      <c r="B243" s="4" t="s">
        <v>11</v>
      </c>
      <c r="C243" s="57">
        <f t="shared" si="439"/>
        <v>177797.32999999996</v>
      </c>
      <c r="D243" s="57">
        <f t="shared" si="439"/>
        <v>190311.73999999996</v>
      </c>
      <c r="E243" s="57">
        <f t="shared" si="439"/>
        <v>203137.62430939233</v>
      </c>
      <c r="F243" s="57">
        <f>F244*366</f>
        <v>221500.31588335868</v>
      </c>
      <c r="G243" s="57">
        <f t="shared" ref="G243:Q243" si="445">G244*365</f>
        <v>240167.31869440226</v>
      </c>
      <c r="H243" s="57">
        <f t="shared" si="445"/>
        <v>255002.00038176047</v>
      </c>
      <c r="I243" s="57">
        <f t="shared" si="445"/>
        <v>282843.13051413267</v>
      </c>
      <c r="J243" s="57">
        <f>J244*366</f>
        <v>306129.41136082343</v>
      </c>
      <c r="K243" s="57">
        <f t="shared" si="445"/>
        <v>324452.15779370768</v>
      </c>
      <c r="L243" s="57">
        <f t="shared" si="445"/>
        <v>344587.38279370771</v>
      </c>
      <c r="M243" s="57">
        <f t="shared" si="445"/>
        <v>363315.91298918764</v>
      </c>
      <c r="N243" s="57">
        <f t="shared" ref="N243" si="446">N244*366</f>
        <v>384850.83781506028</v>
      </c>
      <c r="O243" s="57">
        <f t="shared" si="445"/>
        <v>395158.56713593449</v>
      </c>
      <c r="P243" s="57">
        <f t="shared" si="445"/>
        <v>418866.38474513585</v>
      </c>
      <c r="Q243" s="57">
        <f t="shared" si="445"/>
        <v>556601.92440580204</v>
      </c>
      <c r="R243" s="57">
        <f>R244*366</f>
        <v>702386.29063273978</v>
      </c>
    </row>
    <row r="244" spans="2:20" ht="12.75">
      <c r="B244" s="4" t="s">
        <v>12</v>
      </c>
      <c r="C244" s="59">
        <f>C243/365</f>
        <v>487.11597260273959</v>
      </c>
      <c r="D244" s="60">
        <f>D243/365</f>
        <v>521.40202739726021</v>
      </c>
      <c r="E244" s="57">
        <f t="shared" ref="E244:R244" si="447">+E13+E28+E43+E57+E71+E86+E100+E115+E130+E145+E159+E174+E188+E202+E216+E231</f>
        <v>556.54143646408829</v>
      </c>
      <c r="F244" s="57">
        <f t="shared" si="447"/>
        <v>605.19211989988708</v>
      </c>
      <c r="G244" s="57">
        <f t="shared" si="447"/>
        <v>657.9926539572665</v>
      </c>
      <c r="H244" s="57">
        <f t="shared" si="447"/>
        <v>698.63561748427526</v>
      </c>
      <c r="I244" s="57">
        <f t="shared" si="447"/>
        <v>774.91268634008952</v>
      </c>
      <c r="J244" s="57">
        <f t="shared" si="447"/>
        <v>836.41915672356129</v>
      </c>
      <c r="K244" s="57">
        <f t="shared" si="447"/>
        <v>888.91002135262374</v>
      </c>
      <c r="L244" s="57">
        <f t="shared" si="447"/>
        <v>944.07502135262382</v>
      </c>
      <c r="M244" s="57">
        <f t="shared" si="447"/>
        <v>995.38606298407569</v>
      </c>
      <c r="N244" s="57">
        <f t="shared" si="447"/>
        <v>1051.5050213526238</v>
      </c>
      <c r="O244" s="57">
        <f t="shared" si="447"/>
        <v>1082.6262113313273</v>
      </c>
      <c r="P244" s="57">
        <f t="shared" si="447"/>
        <v>1147.5791362880434</v>
      </c>
      <c r="Q244" s="57">
        <f t="shared" si="447"/>
        <v>1524.9367791939783</v>
      </c>
      <c r="R244" s="57">
        <f t="shared" si="447"/>
        <v>1919.0882257725132</v>
      </c>
      <c r="T244" s="27"/>
    </row>
    <row r="245" spans="2:20" ht="24">
      <c r="B245" s="4" t="s">
        <v>46</v>
      </c>
      <c r="C245" s="57">
        <f t="shared" ref="C245:Q245" si="448">+C244+C217+C160+C131+C116+C101+C72+C29+C14</f>
        <v>487.11597260273959</v>
      </c>
      <c r="D245" s="57">
        <f t="shared" si="448"/>
        <v>521.40202739726021</v>
      </c>
      <c r="E245" s="57">
        <f t="shared" si="448"/>
        <v>556.54143646408829</v>
      </c>
      <c r="F245" s="57">
        <f t="shared" si="448"/>
        <v>605.19211989988708</v>
      </c>
      <c r="G245" s="57">
        <f t="shared" si="448"/>
        <v>657.9926539572665</v>
      </c>
      <c r="H245" s="57">
        <f t="shared" si="448"/>
        <v>698.63561748427526</v>
      </c>
      <c r="I245" s="57">
        <f t="shared" si="448"/>
        <v>774.91268634008952</v>
      </c>
      <c r="J245" s="57">
        <f t="shared" si="448"/>
        <v>886.41915672356129</v>
      </c>
      <c r="K245" s="57">
        <f t="shared" si="448"/>
        <v>938.91002135262374</v>
      </c>
      <c r="L245" s="57">
        <f t="shared" si="448"/>
        <v>994.07502135262382</v>
      </c>
      <c r="M245" s="57">
        <f t="shared" si="448"/>
        <v>1045.3860629840756</v>
      </c>
      <c r="N245" s="57">
        <f t="shared" si="448"/>
        <v>1101.5050213526238</v>
      </c>
      <c r="O245" s="57">
        <f t="shared" si="448"/>
        <v>1132.6262113313273</v>
      </c>
      <c r="P245" s="57">
        <f t="shared" si="448"/>
        <v>1562.5791362880434</v>
      </c>
      <c r="Q245" s="57">
        <f t="shared" si="448"/>
        <v>1944.9367791939783</v>
      </c>
      <c r="R245" s="57">
        <f>+R244+R217+R160+R131+R116+R101+R72+R29+R14</f>
        <v>2334.0882257725134</v>
      </c>
    </row>
    <row r="246" spans="2:20" ht="24">
      <c r="B246" s="4" t="s">
        <v>47</v>
      </c>
      <c r="C246" s="57">
        <f>C262-C240-C248</f>
        <v>774.55216438356138</v>
      </c>
      <c r="D246" s="57">
        <f>D262-D240-D248</f>
        <v>697.8251777079131</v>
      </c>
      <c r="E246" s="57">
        <f>E262-E240-E248</f>
        <v>738.48451013855583</v>
      </c>
      <c r="F246" s="57">
        <f t="shared" ref="F246:R246" si="449">F262-F240-F248</f>
        <v>831.42644200572261</v>
      </c>
      <c r="G246" s="57">
        <f t="shared" si="449"/>
        <v>862.97454630100333</v>
      </c>
      <c r="H246" s="57">
        <f t="shared" si="449"/>
        <v>883.89826747763766</v>
      </c>
      <c r="I246" s="57">
        <f t="shared" si="449"/>
        <v>907.95462166709126</v>
      </c>
      <c r="J246" s="57">
        <f t="shared" si="449"/>
        <v>934.62935071315519</v>
      </c>
      <c r="K246" s="57">
        <f t="shared" si="449"/>
        <v>941.17874962970143</v>
      </c>
      <c r="L246" s="57">
        <f t="shared" si="449"/>
        <v>946.39578432891881</v>
      </c>
      <c r="M246" s="57">
        <f t="shared" si="449"/>
        <v>947.80210037106121</v>
      </c>
      <c r="N246" s="57">
        <f t="shared" si="449"/>
        <v>946.91449346940544</v>
      </c>
      <c r="O246" s="57">
        <f t="shared" si="449"/>
        <v>932.4422777947243</v>
      </c>
      <c r="P246" s="57">
        <f t="shared" si="449"/>
        <v>989.76275559996498</v>
      </c>
      <c r="Q246" s="57">
        <f t="shared" si="449"/>
        <v>1032.8593057297128</v>
      </c>
      <c r="R246" s="57">
        <f t="shared" si="449"/>
        <v>1072.4034810393714</v>
      </c>
    </row>
    <row r="247" spans="2:20" ht="24">
      <c r="B247" s="4" t="s">
        <v>48</v>
      </c>
      <c r="C247" s="57">
        <f>C246/C262*100</f>
        <v>21.082551936130002</v>
      </c>
      <c r="D247" s="57">
        <f t="shared" ref="D247:E247" si="450">D246/D262*100</f>
        <v>19.527486923601487</v>
      </c>
      <c r="E247" s="57">
        <f t="shared" si="450"/>
        <v>19.813039100414091</v>
      </c>
      <c r="F247" s="57">
        <f>E247-0.4</f>
        <v>19.413039100414093</v>
      </c>
      <c r="G247" s="57">
        <f t="shared" ref="G247:R247" si="451">F247-0.4</f>
        <v>19.013039100414094</v>
      </c>
      <c r="H247" s="57">
        <f t="shared" si="451"/>
        <v>18.613039100414095</v>
      </c>
      <c r="I247" s="57">
        <f t="shared" si="451"/>
        <v>18.213039100414097</v>
      </c>
      <c r="J247" s="57">
        <f t="shared" si="451"/>
        <v>17.813039100414098</v>
      </c>
      <c r="K247" s="57">
        <f t="shared" si="451"/>
        <v>17.4130391004141</v>
      </c>
      <c r="L247" s="57">
        <f t="shared" si="451"/>
        <v>17.013039100414101</v>
      </c>
      <c r="M247" s="57">
        <f t="shared" si="451"/>
        <v>16.613039100414102</v>
      </c>
      <c r="N247" s="57">
        <f t="shared" si="451"/>
        <v>16.213039100414104</v>
      </c>
      <c r="O247" s="57">
        <f t="shared" si="451"/>
        <v>15.813039100414104</v>
      </c>
      <c r="P247" s="57">
        <f t="shared" si="451"/>
        <v>15.413039100414103</v>
      </c>
      <c r="Q247" s="57">
        <f t="shared" si="451"/>
        <v>15.013039100414103</v>
      </c>
      <c r="R247" s="57">
        <f t="shared" si="451"/>
        <v>14.613039100414102</v>
      </c>
    </row>
    <row r="248" spans="2:20" ht="12.75">
      <c r="B248" s="4" t="s">
        <v>49</v>
      </c>
      <c r="C248" s="57">
        <v>110</v>
      </c>
      <c r="D248" s="57">
        <v>90</v>
      </c>
      <c r="E248" s="57">
        <v>78</v>
      </c>
      <c r="F248" s="57">
        <f>F249*F262/100</f>
        <v>107.07061858078521</v>
      </c>
      <c r="G248" s="57">
        <f t="shared" ref="G248:R248" si="452">G249*G262/100</f>
        <v>113.47141055979426</v>
      </c>
      <c r="H248" s="57">
        <f t="shared" si="452"/>
        <v>118.72030444748444</v>
      </c>
      <c r="I248" s="57">
        <f t="shared" si="452"/>
        <v>124.62975243467845</v>
      </c>
      <c r="J248" s="57">
        <f t="shared" si="452"/>
        <v>131.17207926235167</v>
      </c>
      <c r="K248" s="57">
        <f t="shared" si="452"/>
        <v>135.12557230852929</v>
      </c>
      <c r="L248" s="57">
        <f t="shared" si="452"/>
        <v>139.069183751227</v>
      </c>
      <c r="M248" s="57">
        <f t="shared" si="452"/>
        <v>142.62924661801279</v>
      </c>
      <c r="N248" s="57">
        <f t="shared" si="452"/>
        <v>146.01125791481309</v>
      </c>
      <c r="O248" s="57">
        <f t="shared" si="452"/>
        <v>147.41667807712972</v>
      </c>
      <c r="P248" s="57">
        <f t="shared" si="452"/>
        <v>160.53984375692863</v>
      </c>
      <c r="Q248" s="57">
        <f t="shared" si="452"/>
        <v>171.99370807294162</v>
      </c>
      <c r="R248" s="57">
        <f t="shared" si="452"/>
        <v>183.46688078884657</v>
      </c>
    </row>
    <row r="249" spans="2:20" ht="12.75">
      <c r="B249" s="4" t="s">
        <v>50</v>
      </c>
      <c r="C249" s="57">
        <f>C248/C262*100</f>
        <v>2.9940923537667397</v>
      </c>
      <c r="D249" s="57">
        <f>D248/D262*100</f>
        <v>2.5185015950510103</v>
      </c>
      <c r="E249" s="57">
        <f>E248/E262*100</f>
        <v>2.0926871567588399</v>
      </c>
      <c r="F249" s="57">
        <v>2.5</v>
      </c>
      <c r="G249" s="57">
        <v>2.5</v>
      </c>
      <c r="H249" s="57">
        <v>2.5</v>
      </c>
      <c r="I249" s="57">
        <v>2.5</v>
      </c>
      <c r="J249" s="57">
        <v>2.5</v>
      </c>
      <c r="K249" s="57">
        <v>2.5</v>
      </c>
      <c r="L249" s="57">
        <v>2.5</v>
      </c>
      <c r="M249" s="57">
        <v>2.5</v>
      </c>
      <c r="N249" s="57">
        <v>2.5</v>
      </c>
      <c r="O249" s="57">
        <v>2.5</v>
      </c>
      <c r="P249" s="57">
        <v>2.5</v>
      </c>
      <c r="Q249" s="57">
        <v>2.5</v>
      </c>
      <c r="R249" s="57">
        <v>2.5</v>
      </c>
    </row>
    <row r="250" spans="2:20" ht="12.75">
      <c r="B250" s="4" t="s">
        <v>51</v>
      </c>
      <c r="C250" s="57">
        <f>C262-C240</f>
        <v>884.55216438356138</v>
      </c>
      <c r="D250" s="57">
        <f>D262-D240</f>
        <v>787.8251777079131</v>
      </c>
      <c r="E250" s="57">
        <f>E262-E240</f>
        <v>816.48451013855583</v>
      </c>
      <c r="F250" s="57">
        <f t="shared" ref="F250:R250" si="453">F262-F240</f>
        <v>938.49706058650781</v>
      </c>
      <c r="G250" s="57">
        <f t="shared" si="453"/>
        <v>976.44595686079765</v>
      </c>
      <c r="H250" s="57">
        <f t="shared" si="453"/>
        <v>1002.6185719251221</v>
      </c>
      <c r="I250" s="57">
        <f t="shared" si="453"/>
        <v>1032.5843741017698</v>
      </c>
      <c r="J250" s="57">
        <f t="shared" si="453"/>
        <v>1065.8014299755068</v>
      </c>
      <c r="K250" s="57">
        <f t="shared" si="453"/>
        <v>1076.3043219382307</v>
      </c>
      <c r="L250" s="57">
        <f t="shared" si="453"/>
        <v>1085.4649680801458</v>
      </c>
      <c r="M250" s="57">
        <f t="shared" si="453"/>
        <v>1090.431346989074</v>
      </c>
      <c r="N250" s="57">
        <f t="shared" si="453"/>
        <v>1092.9257513842185</v>
      </c>
      <c r="O250" s="57">
        <f t="shared" si="453"/>
        <v>1079.8589558718541</v>
      </c>
      <c r="P250" s="57">
        <f t="shared" si="453"/>
        <v>1150.3025993568936</v>
      </c>
      <c r="Q250" s="57">
        <f t="shared" si="453"/>
        <v>1204.8530138026545</v>
      </c>
      <c r="R250" s="57">
        <f t="shared" si="453"/>
        <v>1255.8703618282179</v>
      </c>
    </row>
    <row r="251" spans="2:20" ht="12.75">
      <c r="B251" s="4" t="s">
        <v>52</v>
      </c>
      <c r="C251" s="57">
        <f>C250/C262*100</f>
        <v>24.076644289896741</v>
      </c>
      <c r="D251" s="57">
        <f>D250/D262*100</f>
        <v>22.045988518652496</v>
      </c>
      <c r="E251" s="57">
        <f t="shared" ref="E251" si="454">E250/E262*100</f>
        <v>21.90572625717293</v>
      </c>
      <c r="F251" s="57">
        <f>+F247+F249</f>
        <v>21.913039100414093</v>
      </c>
      <c r="G251" s="57">
        <f t="shared" ref="G251:R251" si="455">+G247+G249</f>
        <v>21.513039100414094</v>
      </c>
      <c r="H251" s="57">
        <f t="shared" si="455"/>
        <v>21.113039100414095</v>
      </c>
      <c r="I251" s="57">
        <f t="shared" si="455"/>
        <v>20.713039100414097</v>
      </c>
      <c r="J251" s="57">
        <f t="shared" si="455"/>
        <v>20.313039100414098</v>
      </c>
      <c r="K251" s="57">
        <f t="shared" si="455"/>
        <v>19.9130391004141</v>
      </c>
      <c r="L251" s="57">
        <f t="shared" si="455"/>
        <v>19.513039100414101</v>
      </c>
      <c r="M251" s="57">
        <f t="shared" si="455"/>
        <v>19.113039100414102</v>
      </c>
      <c r="N251" s="57">
        <f t="shared" si="455"/>
        <v>18.713039100414104</v>
      </c>
      <c r="O251" s="57">
        <f t="shared" si="455"/>
        <v>18.313039100414102</v>
      </c>
      <c r="P251" s="57">
        <f t="shared" si="455"/>
        <v>17.913039100414103</v>
      </c>
      <c r="Q251" s="57">
        <f t="shared" si="455"/>
        <v>17.513039100414105</v>
      </c>
      <c r="R251" s="57">
        <f t="shared" si="455"/>
        <v>17.113039100414102</v>
      </c>
    </row>
    <row r="252" spans="2:20" ht="12.75">
      <c r="B252" s="4" t="s">
        <v>53</v>
      </c>
      <c r="C252" s="57">
        <v>1231998</v>
      </c>
      <c r="D252" s="57">
        <v>1202331</v>
      </c>
      <c r="E252" s="57">
        <v>1036579.8342541436</v>
      </c>
      <c r="F252" s="57"/>
      <c r="G252" s="57"/>
      <c r="H252" s="57"/>
      <c r="I252" s="57"/>
      <c r="J252" s="57"/>
      <c r="K252" s="57"/>
      <c r="L252" s="57"/>
      <c r="M252" s="57"/>
      <c r="N252" s="57"/>
      <c r="O252" s="57"/>
      <c r="P252" s="57"/>
      <c r="Q252" s="57"/>
      <c r="R252" s="57"/>
    </row>
    <row r="253" spans="2:20" ht="12.75">
      <c r="B253" s="4" t="s">
        <v>54</v>
      </c>
      <c r="C253" s="57">
        <f t="shared" ref="C253:E255" si="456">C252/365</f>
        <v>3375.33698630137</v>
      </c>
      <c r="D253" s="57">
        <f t="shared" si="456"/>
        <v>3294.0575342465754</v>
      </c>
      <c r="E253" s="57">
        <f t="shared" si="456"/>
        <v>2839.9447513812156</v>
      </c>
      <c r="F253" s="57"/>
      <c r="G253" s="57"/>
      <c r="H253" s="57"/>
      <c r="I253" s="57"/>
      <c r="J253" s="57"/>
      <c r="K253" s="57"/>
      <c r="L253" s="57"/>
      <c r="M253" s="57"/>
      <c r="N253" s="57"/>
      <c r="O253" s="57"/>
      <c r="P253" s="57"/>
      <c r="Q253" s="57"/>
      <c r="R253" s="57"/>
    </row>
    <row r="254" spans="2:20" ht="12.75">
      <c r="B254" s="4" t="s">
        <v>55</v>
      </c>
      <c r="C254" s="57">
        <v>81936</v>
      </c>
      <c r="D254" s="57">
        <v>51370</v>
      </c>
      <c r="E254" s="57">
        <f>51097/181*365</f>
        <v>103040.91160220995</v>
      </c>
      <c r="F254" s="57"/>
      <c r="G254" s="57"/>
      <c r="H254" s="57"/>
      <c r="I254" s="57"/>
      <c r="J254" s="57"/>
      <c r="K254" s="57"/>
      <c r="L254" s="57"/>
      <c r="M254" s="57"/>
      <c r="N254" s="57"/>
      <c r="O254" s="57"/>
      <c r="P254" s="57"/>
      <c r="Q254" s="57"/>
      <c r="R254" s="57"/>
    </row>
    <row r="255" spans="2:20" ht="12.75">
      <c r="B255" s="4" t="s">
        <v>56</v>
      </c>
      <c r="C255" s="57">
        <f t="shared" si="456"/>
        <v>224.48219178082192</v>
      </c>
      <c r="D255" s="57">
        <f t="shared" si="456"/>
        <v>140.73972602739727</v>
      </c>
      <c r="E255" s="57">
        <f>E254/365</f>
        <v>282.30386740331494</v>
      </c>
      <c r="F255" s="57"/>
      <c r="G255" s="57"/>
      <c r="H255" s="57"/>
      <c r="I255" s="57"/>
      <c r="J255" s="57"/>
      <c r="K255" s="57"/>
      <c r="L255" s="57"/>
      <c r="M255" s="57"/>
      <c r="N255" s="57"/>
      <c r="O255" s="57"/>
      <c r="P255" s="57"/>
      <c r="Q255" s="57"/>
      <c r="R255" s="57"/>
    </row>
    <row r="256" spans="2:20" ht="12.75">
      <c r="B256" s="4" t="s">
        <v>57</v>
      </c>
      <c r="C256" s="57">
        <v>20298</v>
      </c>
      <c r="D256" s="57">
        <v>45185</v>
      </c>
      <c r="E256" s="61"/>
      <c r="F256" s="57"/>
      <c r="G256" s="57"/>
      <c r="H256" s="57"/>
      <c r="I256" s="57"/>
      <c r="J256" s="57"/>
      <c r="K256" s="57"/>
      <c r="L256" s="57"/>
      <c r="M256" s="57"/>
      <c r="N256" s="57"/>
      <c r="O256" s="57"/>
      <c r="P256" s="57"/>
      <c r="Q256" s="57"/>
      <c r="R256" s="57"/>
    </row>
    <row r="257" spans="2:18" ht="12.75">
      <c r="B257" s="4" t="s">
        <v>58</v>
      </c>
      <c r="C257" s="57">
        <f t="shared" ref="C257:D257" si="457">C256/365</f>
        <v>55.610958904109587</v>
      </c>
      <c r="D257" s="57">
        <f t="shared" si="457"/>
        <v>123.79452054794521</v>
      </c>
      <c r="E257" s="62"/>
      <c r="F257" s="57"/>
      <c r="G257" s="57"/>
      <c r="H257" s="57"/>
      <c r="I257" s="57"/>
      <c r="J257" s="57"/>
      <c r="K257" s="57"/>
      <c r="L257" s="57"/>
      <c r="M257" s="57"/>
      <c r="N257" s="57"/>
      <c r="O257" s="57"/>
      <c r="P257" s="57"/>
      <c r="Q257" s="57"/>
      <c r="R257" s="57"/>
    </row>
    <row r="258" spans="2:18" ht="12.75">
      <c r="B258" s="4" t="s">
        <v>59</v>
      </c>
      <c r="C258" s="57">
        <v>4116</v>
      </c>
      <c r="D258" s="57">
        <v>2828</v>
      </c>
      <c r="E258" s="57">
        <v>2026</v>
      </c>
      <c r="F258" s="57"/>
      <c r="G258" s="57"/>
      <c r="H258" s="57"/>
      <c r="I258" s="57"/>
      <c r="J258" s="57"/>
      <c r="K258" s="57"/>
      <c r="L258" s="57"/>
      <c r="M258" s="57"/>
      <c r="N258" s="57"/>
      <c r="O258" s="57"/>
      <c r="P258" s="57"/>
      <c r="Q258" s="57"/>
      <c r="R258" s="57"/>
    </row>
    <row r="259" spans="2:18" ht="12.75">
      <c r="B259" s="4" t="s">
        <v>60</v>
      </c>
      <c r="C259" s="57">
        <f t="shared" ref="C259:E259" si="458">C258/365</f>
        <v>11.276712328767124</v>
      </c>
      <c r="D259" s="57">
        <f t="shared" si="458"/>
        <v>7.7479452054794518</v>
      </c>
      <c r="E259" s="57">
        <f t="shared" si="458"/>
        <v>5.5506849315068489</v>
      </c>
      <c r="F259" s="57"/>
      <c r="G259" s="57"/>
      <c r="H259" s="57"/>
      <c r="I259" s="57"/>
      <c r="J259" s="57"/>
      <c r="K259" s="57"/>
      <c r="L259" s="57"/>
      <c r="M259" s="57"/>
      <c r="N259" s="57"/>
      <c r="O259" s="57"/>
      <c r="P259" s="57"/>
      <c r="Q259" s="57"/>
      <c r="R259" s="57"/>
    </row>
    <row r="260" spans="2:18" ht="12.75">
      <c r="B260" s="4" t="s">
        <v>61</v>
      </c>
      <c r="C260" s="57">
        <v>2626</v>
      </c>
      <c r="D260" s="57">
        <v>2633</v>
      </c>
      <c r="E260" s="57">
        <v>2640</v>
      </c>
      <c r="F260" s="57"/>
      <c r="G260" s="57"/>
      <c r="H260" s="57"/>
      <c r="I260" s="57"/>
      <c r="J260" s="57"/>
      <c r="K260" s="57"/>
      <c r="L260" s="57"/>
      <c r="M260" s="57"/>
      <c r="N260" s="57"/>
      <c r="O260" s="57"/>
      <c r="P260" s="57"/>
      <c r="Q260" s="57"/>
      <c r="R260" s="57"/>
    </row>
    <row r="261" spans="2:18" ht="12.75">
      <c r="B261" s="4" t="s">
        <v>62</v>
      </c>
      <c r="C261" s="57">
        <f t="shared" ref="C261:E261" si="459">C260/365</f>
        <v>7.1945205479452055</v>
      </c>
      <c r="D261" s="57">
        <f t="shared" si="459"/>
        <v>7.2136986301369861</v>
      </c>
      <c r="E261" s="57">
        <f t="shared" si="459"/>
        <v>7.2328767123287667</v>
      </c>
      <c r="F261" s="57"/>
      <c r="G261" s="57"/>
      <c r="H261" s="57"/>
      <c r="I261" s="57"/>
      <c r="J261" s="57"/>
      <c r="K261" s="57"/>
      <c r="L261" s="57"/>
      <c r="M261" s="57"/>
      <c r="N261" s="57"/>
      <c r="O261" s="57"/>
      <c r="P261" s="57"/>
      <c r="Q261" s="57"/>
      <c r="R261" s="57"/>
    </row>
    <row r="262" spans="2:18" ht="12.75">
      <c r="B262" s="46" t="s">
        <v>63</v>
      </c>
      <c r="C262" s="57">
        <f>+C253+C255+C257+C259+C261</f>
        <v>3673.9013698630138</v>
      </c>
      <c r="D262" s="57">
        <f>+D253+D255+D257+D259+D261</f>
        <v>3573.5534246575344</v>
      </c>
      <c r="E262" s="57">
        <f>E263/365</f>
        <v>3727.2651933701659</v>
      </c>
      <c r="F262" s="57">
        <f>F240/(1-F251/100)</f>
        <v>4282.8247432314083</v>
      </c>
      <c r="G262" s="57">
        <f t="shared" ref="G262:R262" si="460">G240/(1-G251/100)</f>
        <v>4538.8564223917701</v>
      </c>
      <c r="H262" s="57">
        <f t="shared" si="460"/>
        <v>4748.8121778993773</v>
      </c>
      <c r="I262" s="57">
        <f t="shared" si="460"/>
        <v>4985.1900973871379</v>
      </c>
      <c r="J262" s="57">
        <f t="shared" si="460"/>
        <v>5246.8831704940667</v>
      </c>
      <c r="K262" s="57">
        <f t="shared" si="460"/>
        <v>5405.0228923411714</v>
      </c>
      <c r="L262" s="57">
        <f t="shared" si="460"/>
        <v>5562.7673500490801</v>
      </c>
      <c r="M262" s="57">
        <f t="shared" si="460"/>
        <v>5705.1698647205112</v>
      </c>
      <c r="N262" s="57">
        <f t="shared" si="460"/>
        <v>5840.4503165925234</v>
      </c>
      <c r="O262" s="57">
        <f t="shared" si="460"/>
        <v>5896.6671230851889</v>
      </c>
      <c r="P262" s="57">
        <f t="shared" si="460"/>
        <v>6421.5937502771458</v>
      </c>
      <c r="Q262" s="57">
        <f t="shared" si="460"/>
        <v>6879.7483229176651</v>
      </c>
      <c r="R262" s="57">
        <f t="shared" si="460"/>
        <v>7338.6752315538624</v>
      </c>
    </row>
    <row r="263" spans="2:18" ht="15.6">
      <c r="B263" s="46" t="s">
        <v>64</v>
      </c>
      <c r="C263" s="63">
        <f>+C252+C254+C256+C258+C260</f>
        <v>1340974</v>
      </c>
      <c r="D263" s="63">
        <f t="shared" ref="D263" si="461">+D252+D254+D256+D258+D260</f>
        <v>1304347</v>
      </c>
      <c r="E263" s="63">
        <v>1360451.7955801105</v>
      </c>
      <c r="F263" s="63">
        <f t="shared" ref="F263:R263" si="462">F262*365</f>
        <v>1563231.031279464</v>
      </c>
      <c r="G263" s="63">
        <f t="shared" si="462"/>
        <v>1656682.594172996</v>
      </c>
      <c r="H263" s="63">
        <f t="shared" si="462"/>
        <v>1733316.4449332727</v>
      </c>
      <c r="I263" s="63">
        <f t="shared" si="462"/>
        <v>1819594.3855463054</v>
      </c>
      <c r="J263" s="63">
        <f t="shared" si="462"/>
        <v>1915112.3572303343</v>
      </c>
      <c r="K263" s="63">
        <f t="shared" si="462"/>
        <v>1972833.3557045276</v>
      </c>
      <c r="L263" s="63">
        <f t="shared" si="462"/>
        <v>2030410.0827679143</v>
      </c>
      <c r="M263" s="63">
        <f t="shared" si="462"/>
        <v>2082387.0006229866</v>
      </c>
      <c r="N263" s="63">
        <f t="shared" si="462"/>
        <v>2131764.3655562713</v>
      </c>
      <c r="O263" s="63">
        <f t="shared" si="462"/>
        <v>2152283.499926094</v>
      </c>
      <c r="P263" s="63">
        <f t="shared" si="462"/>
        <v>2343881.7188511584</v>
      </c>
      <c r="Q263" s="63">
        <f t="shared" si="462"/>
        <v>2511108.1378649478</v>
      </c>
      <c r="R263" s="63">
        <f t="shared" si="462"/>
        <v>2678616.45951716</v>
      </c>
    </row>
    <row r="264" spans="2:18" ht="69.599999999999994" customHeight="1">
      <c r="B264" s="48" t="s">
        <v>65</v>
      </c>
    </row>
  </sheetData>
  <mergeCells count="17">
    <mergeCell ref="B220:P220"/>
    <mergeCell ref="B148:P148"/>
    <mergeCell ref="B163:P163"/>
    <mergeCell ref="B177:P177"/>
    <mergeCell ref="B191:P191"/>
    <mergeCell ref="B205:P205"/>
    <mergeCell ref="B104:P104"/>
    <mergeCell ref="B119:P119"/>
    <mergeCell ref="B134:P134"/>
    <mergeCell ref="B2:P2"/>
    <mergeCell ref="B1:P1"/>
    <mergeCell ref="B17:P17"/>
    <mergeCell ref="B32:P32"/>
    <mergeCell ref="B89:P89"/>
    <mergeCell ref="B46:P46"/>
    <mergeCell ref="B60:P60"/>
    <mergeCell ref="B75:P75"/>
  </mergeCells>
  <phoneticPr fontId="1" type="noConversion"/>
  <conditionalFormatting sqref="D27">
    <cfRule type="expression" dxfId="5" priority="132" stopIfTrue="1">
      <formula>AND(D27="",D60&lt;&gt;"",D60&lt;&gt;0)</formula>
    </cfRule>
    <cfRule type="expression" dxfId="4" priority="133" stopIfTrue="1">
      <formula>AND($A27&lt;&gt;"",D27="")</formula>
    </cfRule>
    <cfRule type="cellIs" dxfId="3" priority="134" stopIfTrue="1" operator="lessThan">
      <formula>0</formula>
    </cfRule>
  </conditionalFormatting>
  <conditionalFormatting sqref="D42">
    <cfRule type="expression" dxfId="2" priority="138" stopIfTrue="1">
      <formula>AND(D42="",#REF!&lt;&gt;"",#REF!&lt;&gt;0)</formula>
    </cfRule>
    <cfRule type="expression" dxfId="1" priority="139" stopIfTrue="1">
      <formula>AND($A42&lt;&gt;"",D42="")</formula>
    </cfRule>
    <cfRule type="cellIs" dxfId="0" priority="140" stopIfTrue="1" operator="lessThan">
      <formula>0</formula>
    </cfRule>
  </conditionalFormatting>
  <pageMargins left="0.75" right="0.75" top="1" bottom="1" header="0.5" footer="0.5"/>
  <pageSetup paperSize="9" scale="65" orientation="landscape" r:id="rId1"/>
  <headerFooter alignWithMargins="0"/>
  <ignoredErrors>
    <ignoredError sqref="C8 D84 F11 G11:R11 E10:N10 F25:R26 E40:Q40 F54 F55:R55 J54:N54 E12:F12 J12:N12 F85:N85 E56:N56 F70:N70 F68:R69 O70:R70 F83:R84 E97:F97 E99:F99 F98:R98 F112 F113:R113 F128:R128 F114:J114 N114:R114 J99 N99 F127:R127 F142 F143:J143 K143:O143 P143:R143 F156:R157 F171 F172:R172 F173:N173 F185:R187 F199:R199 F213:R215 F228 F229:R230 F241:F242 F243:R243 G241:R241 E27:N27 F41:Q41 E42:R42 R41 F201:R201 F200:G200 I200:R200 G242:R242 H57 M57 O57 H71 N144 J144 F129 J129:N129 J158 F158:I158 K158:N158 F144 E54 G7:I7 E227 F8 G9 H9:Q9 G24:Q24 G39:Q39 G53:Q53 G67:Q67 G82:Q82 G96 H96:Q96 G111 H111:Q111 G126:Q126 G155:Q155 G212:Q212 E25 D57 E68:E70 E83 E111 E127:E129 E141:E144 E156:E158 E170:E173 E184:E187 E198:E201 E254 F25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15"/>
  <sheetData/>
  <phoneticPr fontId="1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Sven Otsmaa</dc:creator>
  <cp:keywords/>
  <dc:description/>
  <cp:lastModifiedBy>Guest User</cp:lastModifiedBy>
  <cp:revision/>
  <dcterms:created xsi:type="dcterms:W3CDTF">2009-11-02T09:41:05Z</dcterms:created>
  <dcterms:modified xsi:type="dcterms:W3CDTF">2024-05-13T10:56:10Z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f08ec5-d6d9-4227-8387-ccbfcb3632c4_Enabled">
    <vt:lpwstr>true</vt:lpwstr>
  </property>
  <property fmtid="{D5CDD505-2E9C-101B-9397-08002B2CF9AE}" pid="3" name="MSIP_Label_43f08ec5-d6d9-4227-8387-ccbfcb3632c4_SetDate">
    <vt:lpwstr>2020-11-23T06:45:53Z</vt:lpwstr>
  </property>
  <property fmtid="{D5CDD505-2E9C-101B-9397-08002B2CF9AE}" pid="4" name="MSIP_Label_43f08ec5-d6d9-4227-8387-ccbfcb3632c4_Method">
    <vt:lpwstr>Standard</vt:lpwstr>
  </property>
  <property fmtid="{D5CDD505-2E9C-101B-9397-08002B2CF9AE}" pid="5" name="MSIP_Label_43f08ec5-d6d9-4227-8387-ccbfcb3632c4_Name">
    <vt:lpwstr>Sweco Restricted</vt:lpwstr>
  </property>
  <property fmtid="{D5CDD505-2E9C-101B-9397-08002B2CF9AE}" pid="6" name="MSIP_Label_43f08ec5-d6d9-4227-8387-ccbfcb3632c4_SiteId">
    <vt:lpwstr>b7872ef0-9a00-4c18-8a4a-c7d25c778a9e</vt:lpwstr>
  </property>
  <property fmtid="{D5CDD505-2E9C-101B-9397-08002B2CF9AE}" pid="7" name="MSIP_Label_43f08ec5-d6d9-4227-8387-ccbfcb3632c4_ActionId">
    <vt:lpwstr>b030e57e-29a7-477e-b51c-00003be3607a</vt:lpwstr>
  </property>
  <property fmtid="{D5CDD505-2E9C-101B-9397-08002B2CF9AE}" pid="8" name="MSIP_Label_43f08ec5-d6d9-4227-8387-ccbfcb3632c4_ContentBits">
    <vt:lpwstr>0</vt:lpwstr>
  </property>
</Properties>
</file>