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rek-my.sharepoint.com/personal/indrek_indrek_onmicrosoft_com/Documents/3. Töösolevad/22-23 Viimsi valla ÜVK arengukava/Viimsi valla YVKA jagatud/Olemasolev olukord/Lisad/Lisa 3 Vee- ja reoveebilansid/"/>
    </mc:Choice>
  </mc:AlternateContent>
  <xr:revisionPtr revIDLastSave="521" documentId="8_{C50C3C2C-7BED-4C06-8A73-9BF3960F03C3}" xr6:coauthVersionLast="47" xr6:coauthVersionMax="47" xr10:uidLastSave="{9E4E64E5-2AB6-4BBA-9F88-2DD38F54051D}"/>
  <bookViews>
    <workbookView xWindow="-108" yWindow="-108" windowWidth="23256" windowHeight="12456" xr2:uid="{00000000-000D-0000-FFFF-FFFF00000000}"/>
  </bookViews>
  <sheets>
    <sheet name="Leht2" sheetId="2" r:id="rId1"/>
    <sheet name="Leht3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6" i="2" l="1"/>
  <c r="E213" i="2"/>
  <c r="E211" i="2"/>
  <c r="E212" i="2"/>
  <c r="E201" i="2"/>
  <c r="E199" i="2"/>
  <c r="E197" i="2"/>
  <c r="E200" i="2"/>
  <c r="E198" i="2"/>
  <c r="E187" i="2"/>
  <c r="E185" i="2"/>
  <c r="E183" i="2"/>
  <c r="E186" i="2"/>
  <c r="E184" i="2"/>
  <c r="E158" i="2"/>
  <c r="E156" i="2"/>
  <c r="E154" i="2"/>
  <c r="E157" i="2"/>
  <c r="E155" i="2"/>
  <c r="E144" i="2"/>
  <c r="E142" i="2"/>
  <c r="E140" i="2"/>
  <c r="E143" i="2"/>
  <c r="E141" i="2"/>
  <c r="E129" i="2"/>
  <c r="E127" i="2"/>
  <c r="E125" i="2"/>
  <c r="E128" i="2"/>
  <c r="E126" i="2"/>
  <c r="E113" i="2"/>
  <c r="E111" i="2"/>
  <c r="E112" i="2"/>
  <c r="E100" i="2"/>
  <c r="E98" i="2"/>
  <c r="E96" i="2"/>
  <c r="E99" i="2"/>
  <c r="E97" i="2"/>
  <c r="E24" i="2"/>
  <c r="E39" i="2"/>
  <c r="E55" i="2"/>
  <c r="E84" i="2"/>
  <c r="E82" i="2"/>
  <c r="E83" i="2"/>
  <c r="E71" i="2"/>
  <c r="E69" i="2"/>
  <c r="E70" i="2"/>
  <c r="E68" i="2"/>
  <c r="E57" i="2"/>
  <c r="E53" i="2"/>
  <c r="E56" i="2"/>
  <c r="E54" i="2"/>
  <c r="E43" i="2"/>
  <c r="E41" i="2"/>
  <c r="E42" i="2"/>
  <c r="E40" i="2"/>
  <c r="E28" i="2"/>
  <c r="D26" i="2"/>
  <c r="E26" i="2"/>
  <c r="E27" i="2"/>
  <c r="E25" i="2"/>
  <c r="E13" i="2"/>
  <c r="E11" i="2"/>
  <c r="E9" i="2"/>
  <c r="E12" i="2"/>
  <c r="E10" i="2"/>
  <c r="I37" i="2"/>
  <c r="J37" i="2" s="1"/>
  <c r="K37" i="2" s="1"/>
  <c r="L37" i="2" s="1"/>
  <c r="M37" i="2" s="1"/>
  <c r="N37" i="2" s="1"/>
  <c r="O37" i="2" s="1"/>
  <c r="P37" i="2" s="1"/>
  <c r="Q37" i="2" s="1"/>
  <c r="R67" i="2"/>
  <c r="R82" i="2"/>
  <c r="R111" i="2"/>
  <c r="R125" i="2"/>
  <c r="R183" i="2"/>
  <c r="R197" i="2"/>
  <c r="Q197" i="2"/>
  <c r="P197" i="2"/>
  <c r="O197" i="2"/>
  <c r="N197" i="2"/>
  <c r="M197" i="2"/>
  <c r="L197" i="2"/>
  <c r="K197" i="2"/>
  <c r="J197" i="2"/>
  <c r="I197" i="2"/>
  <c r="Q183" i="2"/>
  <c r="P183" i="2"/>
  <c r="O183" i="2"/>
  <c r="Q125" i="2"/>
  <c r="P125" i="2"/>
  <c r="Q67" i="2"/>
  <c r="P67" i="2"/>
  <c r="H39" i="2"/>
  <c r="G39" i="2"/>
  <c r="G169" i="2"/>
  <c r="H169" i="2"/>
  <c r="G197" i="2"/>
  <c r="H197" i="2"/>
  <c r="F197" i="2"/>
  <c r="F169" i="2"/>
  <c r="F39" i="2"/>
  <c r="K215" i="2"/>
  <c r="L215" i="2" s="1"/>
  <c r="M215" i="2" s="1"/>
  <c r="N215" i="2" s="1"/>
  <c r="O215" i="2" s="1"/>
  <c r="I158" i="2"/>
  <c r="J158" i="2" s="1"/>
  <c r="K158" i="2" s="1"/>
  <c r="L158" i="2" s="1"/>
  <c r="M158" i="2" s="1"/>
  <c r="N158" i="2" s="1"/>
  <c r="O158" i="2" s="1"/>
  <c r="E172" i="2"/>
  <c r="E173" i="2" s="1"/>
  <c r="E170" i="2"/>
  <c r="E171" i="2" s="1"/>
  <c r="P246" i="2"/>
  <c r="Q246" i="2"/>
  <c r="O246" i="2"/>
  <c r="L246" i="2"/>
  <c r="M246" i="2"/>
  <c r="K246" i="2"/>
  <c r="H246" i="2"/>
  <c r="I246" i="2"/>
  <c r="G246" i="2"/>
  <c r="J246" i="2"/>
  <c r="N246" i="2"/>
  <c r="R246" i="2"/>
  <c r="F246" i="2"/>
  <c r="E227" i="2" l="1"/>
  <c r="E228" i="2" s="1"/>
  <c r="C228" i="2"/>
  <c r="E244" i="2" l="1"/>
  <c r="E245" i="2" s="1"/>
  <c r="E179" i="2"/>
  <c r="E150" i="2"/>
  <c r="E92" i="2"/>
  <c r="E78" i="2"/>
  <c r="E20" i="2"/>
  <c r="D69" i="2" l="1"/>
  <c r="E115" i="2" l="1"/>
  <c r="E86" i="2"/>
  <c r="E230" i="2"/>
  <c r="E226" i="2" s="1"/>
  <c r="E225" i="2"/>
  <c r="E215" i="2"/>
  <c r="E210" i="2"/>
  <c r="E195" i="2"/>
  <c r="E196" i="2"/>
  <c r="E181" i="2"/>
  <c r="F181" i="2" s="1"/>
  <c r="G181" i="2" s="1"/>
  <c r="H181" i="2" s="1"/>
  <c r="I181" i="2" s="1"/>
  <c r="J181" i="2" s="1"/>
  <c r="K181" i="2" s="1"/>
  <c r="L181" i="2" s="1"/>
  <c r="M181" i="2" s="1"/>
  <c r="N181" i="2" s="1"/>
  <c r="E182" i="2"/>
  <c r="E167" i="2"/>
  <c r="F167" i="2" s="1"/>
  <c r="G167" i="2" s="1"/>
  <c r="H167" i="2" s="1"/>
  <c r="E168" i="2"/>
  <c r="E169" i="2" s="1"/>
  <c r="E152" i="2"/>
  <c r="F152" i="2" s="1"/>
  <c r="G152" i="2" s="1"/>
  <c r="E153" i="2"/>
  <c r="E139" i="2"/>
  <c r="E124" i="2"/>
  <c r="E109" i="2"/>
  <c r="F109" i="2" s="1"/>
  <c r="G109" i="2" s="1"/>
  <c r="H109" i="2" s="1"/>
  <c r="I109" i="2" s="1"/>
  <c r="J109" i="2" s="1"/>
  <c r="K109" i="2" s="1"/>
  <c r="L109" i="2" s="1"/>
  <c r="M109" i="2" s="1"/>
  <c r="N109" i="2" s="1"/>
  <c r="O109" i="2" s="1"/>
  <c r="P109" i="2" s="1"/>
  <c r="Q109" i="2" s="1"/>
  <c r="E110" i="2"/>
  <c r="E95" i="2"/>
  <c r="E80" i="2"/>
  <c r="E81" i="2"/>
  <c r="E51" i="2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E52" i="2"/>
  <c r="E38" i="2"/>
  <c r="E22" i="2"/>
  <c r="E23" i="2"/>
  <c r="E94" i="2" l="1"/>
  <c r="F94" i="2" s="1"/>
  <c r="G94" i="2" s="1"/>
  <c r="H94" i="2" s="1"/>
  <c r="I94" i="2" s="1"/>
  <c r="J94" i="2" s="1"/>
  <c r="K94" i="2" s="1"/>
  <c r="L94" i="2" s="1"/>
  <c r="M94" i="2" s="1"/>
  <c r="N94" i="2" s="1"/>
  <c r="O94" i="2" s="1"/>
  <c r="P94" i="2" s="1"/>
  <c r="Q94" i="2" s="1"/>
  <c r="R94" i="2" s="1"/>
  <c r="F80" i="2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H201" i="2" l="1"/>
  <c r="I201" i="2" s="1"/>
  <c r="J201" i="2" s="1"/>
  <c r="K201" i="2" s="1"/>
  <c r="L201" i="2" s="1"/>
  <c r="M201" i="2" s="1"/>
  <c r="N201" i="2" s="1"/>
  <c r="O201" i="2" s="1"/>
  <c r="J187" i="2"/>
  <c r="K187" i="2" s="1"/>
  <c r="L187" i="2" s="1"/>
  <c r="M187" i="2" s="1"/>
  <c r="N187" i="2" s="1"/>
  <c r="O187" i="2" s="1"/>
  <c r="P187" i="2" s="1"/>
  <c r="Q187" i="2" s="1"/>
  <c r="R187" i="2" s="1"/>
  <c r="H173" i="2"/>
  <c r="I173" i="2" s="1"/>
  <c r="J173" i="2" s="1"/>
  <c r="K173" i="2" s="1"/>
  <c r="L173" i="2" s="1"/>
  <c r="M173" i="2" s="1"/>
  <c r="N173" i="2" s="1"/>
  <c r="O173" i="2" s="1"/>
  <c r="P173" i="2" s="1"/>
  <c r="Q173" i="2" s="1"/>
  <c r="R173" i="2" s="1"/>
  <c r="L144" i="2"/>
  <c r="M144" i="2" s="1"/>
  <c r="N144" i="2" s="1"/>
  <c r="O144" i="2" s="1"/>
  <c r="P144" i="2" s="1"/>
  <c r="Q144" i="2" s="1"/>
  <c r="R144" i="2" s="1"/>
  <c r="F71" i="2"/>
  <c r="G71" i="2" s="1"/>
  <c r="H71" i="2" s="1"/>
  <c r="I71" i="2" s="1"/>
  <c r="J71" i="2" s="1"/>
  <c r="K71" i="2" s="1"/>
  <c r="G57" i="2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D245" i="2"/>
  <c r="C242" i="2"/>
  <c r="D242" i="2"/>
  <c r="D243" i="2" s="1"/>
  <c r="D240" i="2"/>
  <c r="C240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C235" i="2"/>
  <c r="C245" i="2"/>
  <c r="L71" i="2" l="1"/>
  <c r="K67" i="2"/>
  <c r="C243" i="2"/>
  <c r="M71" i="2" l="1"/>
  <c r="L67" i="2"/>
  <c r="D230" i="2"/>
  <c r="C230" i="2"/>
  <c r="C226" i="2" s="1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D228" i="2"/>
  <c r="D225" i="2"/>
  <c r="C225" i="2"/>
  <c r="R222" i="2"/>
  <c r="R228" i="2" s="1"/>
  <c r="Q222" i="2"/>
  <c r="Q228" i="2" s="1"/>
  <c r="P222" i="2"/>
  <c r="P228" i="2" s="1"/>
  <c r="O222" i="2"/>
  <c r="O228" i="2" s="1"/>
  <c r="N222" i="2"/>
  <c r="N228" i="2" s="1"/>
  <c r="M222" i="2"/>
  <c r="M228" i="2" s="1"/>
  <c r="L222" i="2"/>
  <c r="L228" i="2" s="1"/>
  <c r="L227" i="2" s="1"/>
  <c r="K222" i="2"/>
  <c r="K228" i="2" s="1"/>
  <c r="K227" i="2" s="1"/>
  <c r="J222" i="2"/>
  <c r="J228" i="2" s="1"/>
  <c r="I222" i="2"/>
  <c r="I228" i="2" s="1"/>
  <c r="H222" i="2"/>
  <c r="H228" i="2" s="1"/>
  <c r="H227" i="2" s="1"/>
  <c r="G222" i="2"/>
  <c r="G228" i="2" s="1"/>
  <c r="F222" i="2"/>
  <c r="F228" i="2" s="1"/>
  <c r="E222" i="2"/>
  <c r="D222" i="2"/>
  <c r="C222" i="2"/>
  <c r="D215" i="2"/>
  <c r="C215" i="2"/>
  <c r="D213" i="2"/>
  <c r="C213" i="2"/>
  <c r="D210" i="2"/>
  <c r="C210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E209" i="2" s="1"/>
  <c r="F209" i="2" s="1"/>
  <c r="G209" i="2" s="1"/>
  <c r="H209" i="2" s="1"/>
  <c r="I209" i="2" s="1"/>
  <c r="J209" i="2" s="1"/>
  <c r="K209" i="2" s="1"/>
  <c r="L209" i="2" s="1"/>
  <c r="M209" i="2" s="1"/>
  <c r="N209" i="2" s="1"/>
  <c r="O209" i="2" s="1"/>
  <c r="P209" i="2" s="1"/>
  <c r="Q209" i="2" s="1"/>
  <c r="R209" i="2" s="1"/>
  <c r="D207" i="2"/>
  <c r="C207" i="2"/>
  <c r="D201" i="2"/>
  <c r="C201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D199" i="2"/>
  <c r="C199" i="2"/>
  <c r="D196" i="2"/>
  <c r="C196" i="2"/>
  <c r="R193" i="2"/>
  <c r="R199" i="2" s="1"/>
  <c r="Q193" i="2"/>
  <c r="Q199" i="2" s="1"/>
  <c r="P193" i="2"/>
  <c r="P199" i="2" s="1"/>
  <c r="O193" i="2"/>
  <c r="O199" i="2" s="1"/>
  <c r="N193" i="2"/>
  <c r="N199" i="2" s="1"/>
  <c r="N198" i="2" s="1"/>
  <c r="M193" i="2"/>
  <c r="M199" i="2" s="1"/>
  <c r="L193" i="2"/>
  <c r="L199" i="2" s="1"/>
  <c r="L198" i="2" s="1"/>
  <c r="K193" i="2"/>
  <c r="K199" i="2" s="1"/>
  <c r="K198" i="2" s="1"/>
  <c r="J193" i="2"/>
  <c r="J199" i="2" s="1"/>
  <c r="I193" i="2"/>
  <c r="I199" i="2" s="1"/>
  <c r="I198" i="2" s="1"/>
  <c r="H193" i="2"/>
  <c r="G193" i="2"/>
  <c r="G199" i="2" s="1"/>
  <c r="F193" i="2"/>
  <c r="F199" i="2" s="1"/>
  <c r="D193" i="2"/>
  <c r="C193" i="2"/>
  <c r="D187" i="2"/>
  <c r="R186" i="2" s="1"/>
  <c r="C187" i="2"/>
  <c r="O186" i="2"/>
  <c r="M186" i="2"/>
  <c r="L186" i="2"/>
  <c r="J186" i="2"/>
  <c r="I186" i="2"/>
  <c r="H186" i="2"/>
  <c r="D185" i="2"/>
  <c r="C185" i="2"/>
  <c r="D182" i="2"/>
  <c r="C182" i="2"/>
  <c r="R179" i="2"/>
  <c r="R185" i="2" s="1"/>
  <c r="Q179" i="2"/>
  <c r="Q185" i="2" s="1"/>
  <c r="P179" i="2"/>
  <c r="P185" i="2" s="1"/>
  <c r="O179" i="2"/>
  <c r="O185" i="2" s="1"/>
  <c r="N179" i="2"/>
  <c r="N185" i="2" s="1"/>
  <c r="M179" i="2"/>
  <c r="M185" i="2" s="1"/>
  <c r="L179" i="2"/>
  <c r="L185" i="2" s="1"/>
  <c r="K179" i="2"/>
  <c r="K185" i="2" s="1"/>
  <c r="J179" i="2"/>
  <c r="J185" i="2" s="1"/>
  <c r="J183" i="2" s="1"/>
  <c r="I179" i="2"/>
  <c r="I185" i="2" s="1"/>
  <c r="I183" i="2" s="1"/>
  <c r="H179" i="2"/>
  <c r="H185" i="2" s="1"/>
  <c r="H183" i="2" s="1"/>
  <c r="G179" i="2"/>
  <c r="G185" i="2" s="1"/>
  <c r="G183" i="2" s="1"/>
  <c r="F179" i="2"/>
  <c r="F185" i="2" s="1"/>
  <c r="D179" i="2"/>
  <c r="C179" i="2"/>
  <c r="D110" i="2"/>
  <c r="D124" i="2"/>
  <c r="D139" i="2"/>
  <c r="D168" i="2"/>
  <c r="D153" i="2"/>
  <c r="O172" i="2"/>
  <c r="K172" i="2"/>
  <c r="H172" i="2"/>
  <c r="G172" i="2"/>
  <c r="F172" i="2"/>
  <c r="R157" i="2"/>
  <c r="Q157" i="2"/>
  <c r="P157" i="2"/>
  <c r="P143" i="2"/>
  <c r="H143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D173" i="2"/>
  <c r="R172" i="2" s="1"/>
  <c r="C173" i="2"/>
  <c r="D171" i="2"/>
  <c r="C171" i="2"/>
  <c r="C168" i="2"/>
  <c r="R165" i="2"/>
  <c r="R171" i="2" s="1"/>
  <c r="R169" i="2" s="1"/>
  <c r="Q165" i="2"/>
  <c r="Q171" i="2" s="1"/>
  <c r="Q169" i="2" s="1"/>
  <c r="P165" i="2"/>
  <c r="P171" i="2" s="1"/>
  <c r="P169" i="2" s="1"/>
  <c r="O165" i="2"/>
  <c r="O171" i="2" s="1"/>
  <c r="O169" i="2" s="1"/>
  <c r="N165" i="2"/>
  <c r="N171" i="2" s="1"/>
  <c r="M165" i="2"/>
  <c r="M171" i="2" s="1"/>
  <c r="L165" i="2"/>
  <c r="L171" i="2" s="1"/>
  <c r="K165" i="2"/>
  <c r="K171" i="2" s="1"/>
  <c r="K169" i="2" s="1"/>
  <c r="J165" i="2"/>
  <c r="J171" i="2" s="1"/>
  <c r="J169" i="2" s="1"/>
  <c r="I165" i="2"/>
  <c r="I171" i="2" s="1"/>
  <c r="I169" i="2" s="1"/>
  <c r="H165" i="2"/>
  <c r="H171" i="2" s="1"/>
  <c r="G165" i="2"/>
  <c r="G171" i="2" s="1"/>
  <c r="F165" i="2"/>
  <c r="F171" i="2" s="1"/>
  <c r="D165" i="2"/>
  <c r="C165" i="2"/>
  <c r="D158" i="2"/>
  <c r="C158" i="2"/>
  <c r="D156" i="2"/>
  <c r="C156" i="2"/>
  <c r="C153" i="2"/>
  <c r="R150" i="2"/>
  <c r="R156" i="2" s="1"/>
  <c r="R154" i="2" s="1"/>
  <c r="Q150" i="2"/>
  <c r="Q156" i="2" s="1"/>
  <c r="Q154" i="2" s="1"/>
  <c r="P150" i="2"/>
  <c r="P156" i="2" s="1"/>
  <c r="P154" i="2" s="1"/>
  <c r="O150" i="2"/>
  <c r="O156" i="2" s="1"/>
  <c r="O154" i="2" s="1"/>
  <c r="N150" i="2"/>
  <c r="N156" i="2" s="1"/>
  <c r="N154" i="2" s="1"/>
  <c r="M150" i="2"/>
  <c r="M156" i="2" s="1"/>
  <c r="M154" i="2" s="1"/>
  <c r="L150" i="2"/>
  <c r="L156" i="2" s="1"/>
  <c r="K150" i="2"/>
  <c r="K156" i="2" s="1"/>
  <c r="J150" i="2"/>
  <c r="J156" i="2" s="1"/>
  <c r="J154" i="2" s="1"/>
  <c r="I150" i="2"/>
  <c r="I156" i="2" s="1"/>
  <c r="H150" i="2"/>
  <c r="H156" i="2" s="1"/>
  <c r="H154" i="2" s="1"/>
  <c r="G150" i="2"/>
  <c r="G156" i="2" s="1"/>
  <c r="G154" i="2" s="1"/>
  <c r="F150" i="2"/>
  <c r="F156" i="2" s="1"/>
  <c r="F154" i="2" s="1"/>
  <c r="D150" i="2"/>
  <c r="C150" i="2"/>
  <c r="D144" i="2"/>
  <c r="R143" i="2" s="1"/>
  <c r="C144" i="2"/>
  <c r="D142" i="2"/>
  <c r="C142" i="2"/>
  <c r="C139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E138" i="2" s="1"/>
  <c r="F138" i="2" s="1"/>
  <c r="G138" i="2" s="1"/>
  <c r="H138" i="2" s="1"/>
  <c r="I138" i="2" s="1"/>
  <c r="J138" i="2" s="1"/>
  <c r="K138" i="2" s="1"/>
  <c r="L138" i="2" s="1"/>
  <c r="M138" i="2" s="1"/>
  <c r="N138" i="2" s="1"/>
  <c r="O138" i="2" s="1"/>
  <c r="P138" i="2" s="1"/>
  <c r="D136" i="2"/>
  <c r="C136" i="2"/>
  <c r="L114" i="2"/>
  <c r="M114" i="2"/>
  <c r="K114" i="2"/>
  <c r="D129" i="2"/>
  <c r="C129" i="2"/>
  <c r="D127" i="2"/>
  <c r="C127" i="2"/>
  <c r="C124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E123" i="2" s="1"/>
  <c r="F123" i="2" s="1"/>
  <c r="G123" i="2" s="1"/>
  <c r="H123" i="2" s="1"/>
  <c r="I123" i="2" s="1"/>
  <c r="J123" i="2" s="1"/>
  <c r="K123" i="2" s="1"/>
  <c r="L123" i="2" s="1"/>
  <c r="M123" i="2" s="1"/>
  <c r="N123" i="2" s="1"/>
  <c r="O123" i="2" s="1"/>
  <c r="D121" i="2"/>
  <c r="C121" i="2"/>
  <c r="D113" i="2"/>
  <c r="D115" i="2"/>
  <c r="C115" i="2"/>
  <c r="R114" i="2"/>
  <c r="Q114" i="2"/>
  <c r="P114" i="2"/>
  <c r="O114" i="2"/>
  <c r="N114" i="2"/>
  <c r="J114" i="2"/>
  <c r="I114" i="2"/>
  <c r="H114" i="2"/>
  <c r="G114" i="2"/>
  <c r="F114" i="2"/>
  <c r="C113" i="2"/>
  <c r="C110" i="2"/>
  <c r="R107" i="2"/>
  <c r="R113" i="2" s="1"/>
  <c r="Q107" i="2"/>
  <c r="Q113" i="2" s="1"/>
  <c r="Q111" i="2" s="1"/>
  <c r="P107" i="2"/>
  <c r="P113" i="2" s="1"/>
  <c r="P111" i="2" s="1"/>
  <c r="O107" i="2"/>
  <c r="O113" i="2" s="1"/>
  <c r="O111" i="2" s="1"/>
  <c r="N107" i="2"/>
  <c r="N113" i="2" s="1"/>
  <c r="M107" i="2"/>
  <c r="M113" i="2" s="1"/>
  <c r="L107" i="2"/>
  <c r="L113" i="2" s="1"/>
  <c r="K107" i="2"/>
  <c r="K113" i="2" s="1"/>
  <c r="J107" i="2"/>
  <c r="J113" i="2" s="1"/>
  <c r="J111" i="2" s="1"/>
  <c r="I107" i="2"/>
  <c r="I113" i="2" s="1"/>
  <c r="I111" i="2" s="1"/>
  <c r="H107" i="2"/>
  <c r="H113" i="2" s="1"/>
  <c r="G107" i="2"/>
  <c r="G113" i="2" s="1"/>
  <c r="F107" i="2"/>
  <c r="F113" i="2" s="1"/>
  <c r="F111" i="2" s="1"/>
  <c r="D107" i="2"/>
  <c r="C107" i="2"/>
  <c r="D100" i="2"/>
  <c r="C100" i="2"/>
  <c r="D86" i="2"/>
  <c r="F86" i="2" s="1"/>
  <c r="G86" i="2" s="1"/>
  <c r="H86" i="2" s="1"/>
  <c r="I86" i="2" s="1"/>
  <c r="R85" i="2" s="1"/>
  <c r="C86" i="2"/>
  <c r="D98" i="2"/>
  <c r="C98" i="2"/>
  <c r="D95" i="2"/>
  <c r="C95" i="2"/>
  <c r="R92" i="2"/>
  <c r="R98" i="2" s="1"/>
  <c r="R96" i="2" s="1"/>
  <c r="Q92" i="2"/>
  <c r="Q98" i="2" s="1"/>
  <c r="Q96" i="2" s="1"/>
  <c r="P92" i="2"/>
  <c r="P98" i="2" s="1"/>
  <c r="O92" i="2"/>
  <c r="O98" i="2" s="1"/>
  <c r="O96" i="2" s="1"/>
  <c r="N92" i="2"/>
  <c r="N98" i="2" s="1"/>
  <c r="M92" i="2"/>
  <c r="M98" i="2" s="1"/>
  <c r="M96" i="2" s="1"/>
  <c r="L92" i="2"/>
  <c r="L98" i="2" s="1"/>
  <c r="K92" i="2"/>
  <c r="K98" i="2" s="1"/>
  <c r="J92" i="2"/>
  <c r="J98" i="2" s="1"/>
  <c r="I92" i="2"/>
  <c r="I98" i="2" s="1"/>
  <c r="I96" i="2" s="1"/>
  <c r="H92" i="2"/>
  <c r="H98" i="2" s="1"/>
  <c r="H96" i="2" s="1"/>
  <c r="G92" i="2"/>
  <c r="G98" i="2" s="1"/>
  <c r="F92" i="2"/>
  <c r="F98" i="2" s="1"/>
  <c r="F96" i="2" s="1"/>
  <c r="D92" i="2"/>
  <c r="C92" i="2"/>
  <c r="F78" i="2"/>
  <c r="F84" i="2" s="1"/>
  <c r="F82" i="2" s="1"/>
  <c r="G78" i="2"/>
  <c r="G84" i="2" s="1"/>
  <c r="H78" i="2"/>
  <c r="H84" i="2" s="1"/>
  <c r="H82" i="2" s="1"/>
  <c r="I78" i="2"/>
  <c r="I84" i="2" s="1"/>
  <c r="I82" i="2" s="1"/>
  <c r="J78" i="2"/>
  <c r="J84" i="2" s="1"/>
  <c r="J82" i="2" s="1"/>
  <c r="K78" i="2"/>
  <c r="K84" i="2" s="1"/>
  <c r="K82" i="2" s="1"/>
  <c r="L78" i="2"/>
  <c r="L84" i="2" s="1"/>
  <c r="L82" i="2" s="1"/>
  <c r="M78" i="2"/>
  <c r="M84" i="2" s="1"/>
  <c r="N78" i="2"/>
  <c r="N84" i="2" s="1"/>
  <c r="O78" i="2"/>
  <c r="O84" i="2" s="1"/>
  <c r="P78" i="2"/>
  <c r="P84" i="2" s="1"/>
  <c r="Q78" i="2"/>
  <c r="Q84" i="2" s="1"/>
  <c r="Q82" i="2" s="1"/>
  <c r="R78" i="2"/>
  <c r="R84" i="2" s="1"/>
  <c r="D78" i="2"/>
  <c r="C78" i="2"/>
  <c r="E63" i="2"/>
  <c r="E65" i="2" s="1"/>
  <c r="F65" i="2" s="1"/>
  <c r="G65" i="2" s="1"/>
  <c r="H65" i="2" s="1"/>
  <c r="I65" i="2" s="1"/>
  <c r="J65" i="2" s="1"/>
  <c r="F63" i="2"/>
  <c r="G63" i="2"/>
  <c r="H63" i="2"/>
  <c r="I63" i="2"/>
  <c r="J63" i="2"/>
  <c r="K63" i="2"/>
  <c r="K69" i="2" s="1"/>
  <c r="K68" i="2" s="1"/>
  <c r="L63" i="2"/>
  <c r="L69" i="2" s="1"/>
  <c r="L68" i="2" s="1"/>
  <c r="M63" i="2"/>
  <c r="M69" i="2" s="1"/>
  <c r="M68" i="2" s="1"/>
  <c r="N63" i="2"/>
  <c r="N69" i="2" s="1"/>
  <c r="N68" i="2" s="1"/>
  <c r="O63" i="2"/>
  <c r="O69" i="2" s="1"/>
  <c r="O68" i="2" s="1"/>
  <c r="P63" i="2"/>
  <c r="P69" i="2" s="1"/>
  <c r="P68" i="2" s="1"/>
  <c r="Q63" i="2"/>
  <c r="Q69" i="2" s="1"/>
  <c r="Q68" i="2" s="1"/>
  <c r="R63" i="2"/>
  <c r="R69" i="2" s="1"/>
  <c r="R68" i="2" s="1"/>
  <c r="R70" i="2"/>
  <c r="Q70" i="2"/>
  <c r="P70" i="2"/>
  <c r="M70" i="2"/>
  <c r="L70" i="2"/>
  <c r="K70" i="2"/>
  <c r="J70" i="2"/>
  <c r="I70" i="2"/>
  <c r="H70" i="2"/>
  <c r="G70" i="2"/>
  <c r="F70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R27" i="2"/>
  <c r="Q27" i="2"/>
  <c r="P27" i="2"/>
  <c r="O27" i="2"/>
  <c r="N27" i="2"/>
  <c r="M27" i="2"/>
  <c r="L27" i="2"/>
  <c r="K27" i="2"/>
  <c r="J27" i="2"/>
  <c r="I27" i="2"/>
  <c r="H27" i="2"/>
  <c r="C49" i="2"/>
  <c r="D43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D35" i="2"/>
  <c r="C35" i="2"/>
  <c r="C28" i="2"/>
  <c r="C26" i="2"/>
  <c r="D20" i="2"/>
  <c r="C20" i="2"/>
  <c r="D13" i="2"/>
  <c r="F184" i="2" l="1"/>
  <c r="F183" i="2"/>
  <c r="K184" i="2"/>
  <c r="K183" i="2"/>
  <c r="L184" i="2"/>
  <c r="L182" i="2" s="1"/>
  <c r="L183" i="2"/>
  <c r="M184" i="2"/>
  <c r="M182" i="2" s="1"/>
  <c r="M183" i="2"/>
  <c r="N184" i="2"/>
  <c r="N183" i="2"/>
  <c r="K112" i="2"/>
  <c r="K111" i="2"/>
  <c r="N112" i="2"/>
  <c r="N111" i="2"/>
  <c r="L112" i="2"/>
  <c r="L110" i="2" s="1"/>
  <c r="L111" i="2"/>
  <c r="M112" i="2"/>
  <c r="M110" i="2" s="1"/>
  <c r="M111" i="2"/>
  <c r="J97" i="2"/>
  <c r="J96" i="2"/>
  <c r="K97" i="2"/>
  <c r="K96" i="2"/>
  <c r="N97" i="2"/>
  <c r="N96" i="2"/>
  <c r="P97" i="2"/>
  <c r="P96" i="2"/>
  <c r="L97" i="2"/>
  <c r="L96" i="2"/>
  <c r="O83" i="2"/>
  <c r="O82" i="2"/>
  <c r="N83" i="2"/>
  <c r="N82" i="2"/>
  <c r="P83" i="2"/>
  <c r="P82" i="2"/>
  <c r="M83" i="2"/>
  <c r="M82" i="2"/>
  <c r="N71" i="2"/>
  <c r="M67" i="2"/>
  <c r="I155" i="2"/>
  <c r="I154" i="2"/>
  <c r="K155" i="2"/>
  <c r="K154" i="2"/>
  <c r="L155" i="2"/>
  <c r="L154" i="2"/>
  <c r="M170" i="2"/>
  <c r="M169" i="2"/>
  <c r="N170" i="2"/>
  <c r="N169" i="2"/>
  <c r="L170" i="2"/>
  <c r="L169" i="2"/>
  <c r="H142" i="2"/>
  <c r="H141" i="2" s="1"/>
  <c r="H139" i="2" s="1"/>
  <c r="I142" i="2"/>
  <c r="D138" i="2"/>
  <c r="F142" i="2"/>
  <c r="J142" i="2"/>
  <c r="J140" i="2" s="1"/>
  <c r="R142" i="2"/>
  <c r="K142" i="2"/>
  <c r="K140" i="2" s="1"/>
  <c r="G142" i="2"/>
  <c r="G141" i="2" s="1"/>
  <c r="H225" i="2"/>
  <c r="D226" i="2"/>
  <c r="L142" i="2"/>
  <c r="L140" i="2" s="1"/>
  <c r="J69" i="2"/>
  <c r="M142" i="2"/>
  <c r="M140" i="2" s="1"/>
  <c r="D167" i="2"/>
  <c r="I69" i="2"/>
  <c r="N142" i="2"/>
  <c r="H69" i="2"/>
  <c r="O142" i="2"/>
  <c r="D94" i="2"/>
  <c r="P142" i="2"/>
  <c r="D209" i="2"/>
  <c r="Q142" i="2"/>
  <c r="H127" i="2"/>
  <c r="H125" i="2" s="1"/>
  <c r="I127" i="2"/>
  <c r="I125" i="2" s="1"/>
  <c r="L127" i="2"/>
  <c r="M127" i="2"/>
  <c r="N127" i="2"/>
  <c r="N125" i="2" s="1"/>
  <c r="J127" i="2"/>
  <c r="K127" i="2"/>
  <c r="O127" i="2"/>
  <c r="P127" i="2"/>
  <c r="P126" i="2" s="1"/>
  <c r="P124" i="2" s="1"/>
  <c r="Q127" i="2"/>
  <c r="Q126" i="2" s="1"/>
  <c r="Q124" i="2" s="1"/>
  <c r="F127" i="2"/>
  <c r="R127" i="2"/>
  <c r="R126" i="2" s="1"/>
  <c r="R124" i="2" s="1"/>
  <c r="G127" i="2"/>
  <c r="G126" i="2" s="1"/>
  <c r="G124" i="2" s="1"/>
  <c r="I196" i="2"/>
  <c r="D197" i="2"/>
  <c r="H85" i="2"/>
  <c r="L85" i="2"/>
  <c r="J85" i="2"/>
  <c r="K85" i="2"/>
  <c r="M85" i="2"/>
  <c r="Q85" i="2"/>
  <c r="I172" i="2"/>
  <c r="F85" i="2"/>
  <c r="G85" i="2"/>
  <c r="P186" i="2"/>
  <c r="P172" i="2"/>
  <c r="Q186" i="2"/>
  <c r="P85" i="2"/>
  <c r="P81" i="2" s="1"/>
  <c r="F186" i="2"/>
  <c r="F182" i="2" s="1"/>
  <c r="N227" i="2"/>
  <c r="N225" i="2" s="1"/>
  <c r="N226" i="2"/>
  <c r="I143" i="2"/>
  <c r="Q172" i="2"/>
  <c r="I85" i="2"/>
  <c r="J143" i="2"/>
  <c r="N186" i="2"/>
  <c r="K143" i="2"/>
  <c r="C211" i="2"/>
  <c r="L143" i="2"/>
  <c r="D211" i="2"/>
  <c r="N85" i="2"/>
  <c r="O143" i="2"/>
  <c r="G186" i="2"/>
  <c r="O85" i="2"/>
  <c r="O81" i="2" s="1"/>
  <c r="L172" i="2"/>
  <c r="L168" i="2" s="1"/>
  <c r="Q143" i="2"/>
  <c r="M172" i="2"/>
  <c r="M168" i="2" s="1"/>
  <c r="F143" i="2"/>
  <c r="N172" i="2"/>
  <c r="N168" i="2" s="1"/>
  <c r="M143" i="2"/>
  <c r="N143" i="2"/>
  <c r="J172" i="2"/>
  <c r="G143" i="2"/>
  <c r="K186" i="2"/>
  <c r="D224" i="2"/>
  <c r="C224" i="2"/>
  <c r="K225" i="2"/>
  <c r="L225" i="2"/>
  <c r="I226" i="2"/>
  <c r="I227" i="2"/>
  <c r="I225" i="2" s="1"/>
  <c r="J227" i="2"/>
  <c r="J225" i="2" s="1"/>
  <c r="J226" i="2"/>
  <c r="M227" i="2"/>
  <c r="M225" i="2" s="1"/>
  <c r="M226" i="2"/>
  <c r="O226" i="2"/>
  <c r="O227" i="2"/>
  <c r="O225" i="2" s="1"/>
  <c r="P226" i="2"/>
  <c r="P227" i="2"/>
  <c r="P225" i="2" s="1"/>
  <c r="Q226" i="2"/>
  <c r="Q227" i="2"/>
  <c r="Q225" i="2" s="1"/>
  <c r="F226" i="2"/>
  <c r="F227" i="2"/>
  <c r="F225" i="2" s="1"/>
  <c r="R226" i="2"/>
  <c r="R227" i="2"/>
  <c r="R225" i="2" s="1"/>
  <c r="G227" i="2"/>
  <c r="G225" i="2" s="1"/>
  <c r="G226" i="2"/>
  <c r="H226" i="2"/>
  <c r="K226" i="2"/>
  <c r="L226" i="2"/>
  <c r="K196" i="2"/>
  <c r="L196" i="2"/>
  <c r="N196" i="2"/>
  <c r="C209" i="2"/>
  <c r="C181" i="2"/>
  <c r="D181" i="2"/>
  <c r="D195" i="2"/>
  <c r="C197" i="2"/>
  <c r="C195" i="2"/>
  <c r="J198" i="2"/>
  <c r="J196" i="2" s="1"/>
  <c r="F198" i="2"/>
  <c r="F196" i="2" s="1"/>
  <c r="R198" i="2"/>
  <c r="R196" i="2" s="1"/>
  <c r="M198" i="2"/>
  <c r="M196" i="2" s="1"/>
  <c r="O198" i="2"/>
  <c r="O196" i="2" s="1"/>
  <c r="P198" i="2"/>
  <c r="P196" i="2" s="1"/>
  <c r="Q198" i="2"/>
  <c r="Q196" i="2" s="1"/>
  <c r="G198" i="2"/>
  <c r="G196" i="2" s="1"/>
  <c r="H198" i="2"/>
  <c r="H196" i="2" s="1"/>
  <c r="D169" i="2"/>
  <c r="D183" i="2"/>
  <c r="C183" i="2"/>
  <c r="J184" i="2"/>
  <c r="J182" i="2" s="1"/>
  <c r="G184" i="2"/>
  <c r="H184" i="2"/>
  <c r="H182" i="2" s="1"/>
  <c r="I184" i="2"/>
  <c r="I182" i="2" s="1"/>
  <c r="O184" i="2"/>
  <c r="O182" i="2" s="1"/>
  <c r="P184" i="2"/>
  <c r="Q184" i="2"/>
  <c r="R184" i="2"/>
  <c r="R182" i="2" s="1"/>
  <c r="C138" i="2"/>
  <c r="C140" i="2"/>
  <c r="C169" i="2"/>
  <c r="F170" i="2"/>
  <c r="F168" i="2" s="1"/>
  <c r="R170" i="2"/>
  <c r="R168" i="2" s="1"/>
  <c r="H170" i="2"/>
  <c r="H168" i="2" s="1"/>
  <c r="I170" i="2"/>
  <c r="J170" i="2"/>
  <c r="K170" i="2"/>
  <c r="K168" i="2" s="1"/>
  <c r="G170" i="2"/>
  <c r="G168" i="2" s="1"/>
  <c r="O170" i="2"/>
  <c r="O168" i="2" s="1"/>
  <c r="P170" i="2"/>
  <c r="Q170" i="2"/>
  <c r="C167" i="2"/>
  <c r="C154" i="2"/>
  <c r="D154" i="2"/>
  <c r="D123" i="2"/>
  <c r="H155" i="2"/>
  <c r="G155" i="2"/>
  <c r="M155" i="2"/>
  <c r="P155" i="2"/>
  <c r="P153" i="2" s="1"/>
  <c r="Q155" i="2"/>
  <c r="Q153" i="2" s="1"/>
  <c r="F155" i="2"/>
  <c r="R155" i="2"/>
  <c r="R153" i="2" s="1"/>
  <c r="J155" i="2"/>
  <c r="N155" i="2"/>
  <c r="O155" i="2"/>
  <c r="C152" i="2"/>
  <c r="D152" i="2"/>
  <c r="C123" i="2"/>
  <c r="D96" i="2"/>
  <c r="N110" i="2"/>
  <c r="D140" i="2"/>
  <c r="C125" i="2"/>
  <c r="K110" i="2"/>
  <c r="D109" i="2"/>
  <c r="D125" i="2"/>
  <c r="C111" i="2"/>
  <c r="D111" i="2"/>
  <c r="C109" i="2"/>
  <c r="I112" i="2"/>
  <c r="I110" i="2" s="1"/>
  <c r="G111" i="2"/>
  <c r="G112" i="2"/>
  <c r="G110" i="2" s="1"/>
  <c r="J112" i="2"/>
  <c r="J110" i="2" s="1"/>
  <c r="O112" i="2"/>
  <c r="O110" i="2" s="1"/>
  <c r="H112" i="2"/>
  <c r="H110" i="2" s="1"/>
  <c r="H111" i="2"/>
  <c r="P112" i="2"/>
  <c r="P110" i="2" s="1"/>
  <c r="Q112" i="2"/>
  <c r="Q110" i="2" s="1"/>
  <c r="F112" i="2"/>
  <c r="F110" i="2" s="1"/>
  <c r="R112" i="2"/>
  <c r="R110" i="2" s="1"/>
  <c r="L83" i="2"/>
  <c r="C96" i="2"/>
  <c r="C94" i="2"/>
  <c r="G97" i="2"/>
  <c r="H97" i="2"/>
  <c r="M97" i="2"/>
  <c r="Q97" i="2"/>
  <c r="F97" i="2"/>
  <c r="R97" i="2"/>
  <c r="I97" i="2"/>
  <c r="O97" i="2"/>
  <c r="J83" i="2"/>
  <c r="I83" i="2"/>
  <c r="H83" i="2"/>
  <c r="G83" i="2"/>
  <c r="G82" i="2"/>
  <c r="R83" i="2"/>
  <c r="R81" i="2" s="1"/>
  <c r="F83" i="2"/>
  <c r="Q83" i="2"/>
  <c r="K83" i="2"/>
  <c r="N182" i="2" l="1"/>
  <c r="K182" i="2"/>
  <c r="H140" i="2"/>
  <c r="L141" i="2"/>
  <c r="F141" i="2"/>
  <c r="F139" i="2" s="1"/>
  <c r="F140" i="2"/>
  <c r="O141" i="2"/>
  <c r="O140" i="2"/>
  <c r="N141" i="2"/>
  <c r="N139" i="2" s="1"/>
  <c r="N140" i="2"/>
  <c r="I141" i="2"/>
  <c r="I140" i="2"/>
  <c r="I139" i="2"/>
  <c r="K141" i="2"/>
  <c r="K139" i="2" s="1"/>
  <c r="M141" i="2"/>
  <c r="M139" i="2" s="1"/>
  <c r="P141" i="2"/>
  <c r="P139" i="2" s="1"/>
  <c r="P140" i="2"/>
  <c r="J141" i="2"/>
  <c r="J139" i="2" s="1"/>
  <c r="M126" i="2"/>
  <c r="M124" i="2" s="1"/>
  <c r="M125" i="2"/>
  <c r="L126" i="2"/>
  <c r="L124" i="2" s="1"/>
  <c r="L125" i="2"/>
  <c r="O126" i="2"/>
  <c r="O124" i="2" s="1"/>
  <c r="O125" i="2"/>
  <c r="K126" i="2"/>
  <c r="K124" i="2" s="1"/>
  <c r="K125" i="2"/>
  <c r="J126" i="2"/>
  <c r="J124" i="2" s="1"/>
  <c r="J125" i="2"/>
  <c r="F126" i="2"/>
  <c r="F124" i="2" s="1"/>
  <c r="F125" i="2"/>
  <c r="M81" i="2"/>
  <c r="N81" i="2"/>
  <c r="O71" i="2"/>
  <c r="N67" i="2"/>
  <c r="N70" i="2"/>
  <c r="H68" i="2"/>
  <c r="H67" i="2"/>
  <c r="J68" i="2"/>
  <c r="J67" i="2"/>
  <c r="I68" i="2"/>
  <c r="I67" i="2"/>
  <c r="R141" i="2"/>
  <c r="R139" i="2" s="1"/>
  <c r="R140" i="2"/>
  <c r="Q141" i="2"/>
  <c r="Q140" i="2"/>
  <c r="H126" i="2"/>
  <c r="H124" i="2" s="1"/>
  <c r="G125" i="2"/>
  <c r="G140" i="2"/>
  <c r="I126" i="2"/>
  <c r="I124" i="2" s="1"/>
  <c r="N126" i="2"/>
  <c r="N124" i="2" s="1"/>
  <c r="L81" i="2"/>
  <c r="K81" i="2"/>
  <c r="Q81" i="2"/>
  <c r="F81" i="2"/>
  <c r="H81" i="2"/>
  <c r="O139" i="2"/>
  <c r="L139" i="2"/>
  <c r="G182" i="2"/>
  <c r="Q168" i="2"/>
  <c r="I168" i="2"/>
  <c r="G139" i="2"/>
  <c r="J81" i="2"/>
  <c r="G81" i="2"/>
  <c r="Q182" i="2"/>
  <c r="P168" i="2"/>
  <c r="P182" i="2"/>
  <c r="I81" i="2"/>
  <c r="Q139" i="2"/>
  <c r="J168" i="2"/>
  <c r="O67" i="2" l="1"/>
  <c r="O70" i="2"/>
  <c r="D11" i="2"/>
  <c r="E5" i="2"/>
  <c r="E7" i="2" s="1"/>
  <c r="F7" i="2" s="1"/>
  <c r="G7" i="2" s="1"/>
  <c r="H7" i="2" s="1"/>
  <c r="F5" i="2"/>
  <c r="G5" i="2"/>
  <c r="H5" i="2"/>
  <c r="I5" i="2"/>
  <c r="J5" i="2"/>
  <c r="K5" i="2"/>
  <c r="L5" i="2"/>
  <c r="M5" i="2"/>
  <c r="N5" i="2"/>
  <c r="O5" i="2"/>
  <c r="P5" i="2"/>
  <c r="Q5" i="2"/>
  <c r="R5" i="2"/>
  <c r="C5" i="2"/>
  <c r="D63" i="2"/>
  <c r="C63" i="2"/>
  <c r="I11" i="2" l="1"/>
  <c r="I9" i="2" s="1"/>
  <c r="I8" i="2" s="1"/>
  <c r="L11" i="2"/>
  <c r="L9" i="2" s="1"/>
  <c r="L8" i="2" s="1"/>
  <c r="M11" i="2"/>
  <c r="M9" i="2" s="1"/>
  <c r="M8" i="2" s="1"/>
  <c r="J11" i="2"/>
  <c r="J9" i="2" s="1"/>
  <c r="J8" i="2" s="1"/>
  <c r="N11" i="2"/>
  <c r="N9" i="2" s="1"/>
  <c r="N8" i="2" s="1"/>
  <c r="K11" i="2"/>
  <c r="K9" i="2" s="1"/>
  <c r="K8" i="2" s="1"/>
  <c r="H11" i="2"/>
  <c r="H9" i="2" s="1"/>
  <c r="H8" i="2" s="1"/>
  <c r="C236" i="2"/>
  <c r="G11" i="2"/>
  <c r="G9" i="2" s="1"/>
  <c r="G8" i="2" s="1"/>
  <c r="R11" i="2"/>
  <c r="R9" i="2" s="1"/>
  <c r="R8" i="2" s="1"/>
  <c r="F11" i="2"/>
  <c r="F9" i="2" s="1"/>
  <c r="F8" i="2" s="1"/>
  <c r="Q11" i="2"/>
  <c r="Q9" i="2" s="1"/>
  <c r="Q8" i="2" s="1"/>
  <c r="P11" i="2"/>
  <c r="P9" i="2" s="1"/>
  <c r="P8" i="2" s="1"/>
  <c r="O11" i="2"/>
  <c r="O9" i="2" s="1"/>
  <c r="O8" i="2" s="1"/>
  <c r="D84" i="2"/>
  <c r="C84" i="2"/>
  <c r="C71" i="2"/>
  <c r="C66" i="2"/>
  <c r="D71" i="2"/>
  <c r="D57" i="2"/>
  <c r="C57" i="2"/>
  <c r="C69" i="2"/>
  <c r="C65" i="2" s="1"/>
  <c r="C52" i="2"/>
  <c r="C55" i="2"/>
  <c r="C38" i="2"/>
  <c r="C43" i="2"/>
  <c r="C41" i="2"/>
  <c r="C37" i="2" s="1"/>
  <c r="N10" i="2" l="1"/>
  <c r="Q10" i="2"/>
  <c r="R10" i="2"/>
  <c r="O10" i="2"/>
  <c r="G10" i="2"/>
  <c r="M10" i="2"/>
  <c r="L10" i="2"/>
  <c r="K10" i="2"/>
  <c r="F10" i="2"/>
  <c r="J10" i="2"/>
  <c r="P10" i="2"/>
  <c r="H10" i="2"/>
  <c r="I10" i="2"/>
  <c r="D82" i="2"/>
  <c r="C67" i="2"/>
  <c r="C80" i="2"/>
  <c r="C82" i="2"/>
  <c r="C81" i="2"/>
  <c r="C39" i="2"/>
  <c r="C53" i="2"/>
  <c r="C51" i="2"/>
  <c r="C23" i="2"/>
  <c r="D28" i="2"/>
  <c r="C8" i="2"/>
  <c r="F56" i="2" l="1"/>
  <c r="C238" i="2"/>
  <c r="C246" i="2" s="1"/>
  <c r="C247" i="2" s="1"/>
  <c r="C248" i="2" s="1"/>
  <c r="D22" i="2"/>
  <c r="C24" i="2"/>
  <c r="C22" i="2"/>
  <c r="G27" i="2" l="1"/>
  <c r="F27" i="2"/>
  <c r="G56" i="2"/>
  <c r="F12" i="2"/>
  <c r="H56" i="2" l="1"/>
  <c r="G12" i="2"/>
  <c r="I56" i="2" l="1"/>
  <c r="H12" i="2"/>
  <c r="J56" i="2" l="1"/>
  <c r="I12" i="2"/>
  <c r="K56" i="2" l="1"/>
  <c r="J12" i="2"/>
  <c r="C11" i="2"/>
  <c r="C241" i="2" s="1"/>
  <c r="C9" i="2"/>
  <c r="C239" i="2" s="1"/>
  <c r="L56" i="2" l="1"/>
  <c r="K12" i="2"/>
  <c r="C13" i="2"/>
  <c r="M56" i="2" l="1"/>
  <c r="L12" i="2"/>
  <c r="N56" i="2" l="1"/>
  <c r="M12" i="2"/>
  <c r="O56" i="2" l="1"/>
  <c r="N12" i="2"/>
  <c r="D55" i="2"/>
  <c r="D53" i="2" s="1"/>
  <c r="D52" i="2"/>
  <c r="P56" i="2" l="1"/>
  <c r="O12" i="2"/>
  <c r="D81" i="2"/>
  <c r="D66" i="2"/>
  <c r="D41" i="2"/>
  <c r="D241" i="2" s="1"/>
  <c r="D38" i="2"/>
  <c r="D23" i="2"/>
  <c r="R56" i="2" l="1"/>
  <c r="Q56" i="2"/>
  <c r="P12" i="2"/>
  <c r="D65" i="2"/>
  <c r="D39" i="2"/>
  <c r="R66" i="2"/>
  <c r="D67" i="2"/>
  <c r="D80" i="2"/>
  <c r="D37" i="2"/>
  <c r="E37" i="2" s="1"/>
  <c r="F37" i="2" s="1"/>
  <c r="G37" i="2" s="1"/>
  <c r="H37" i="2" s="1"/>
  <c r="D24" i="2"/>
  <c r="Q12" i="2" l="1"/>
  <c r="R12" i="2" l="1"/>
  <c r="H66" i="2" l="1"/>
  <c r="I66" i="2" l="1"/>
  <c r="J66" i="2" l="1"/>
  <c r="K66" i="2" l="1"/>
  <c r="M66" i="2"/>
  <c r="L66" i="2" l="1"/>
  <c r="N66" i="2"/>
  <c r="O66" i="2" l="1"/>
  <c r="P66" i="2" l="1"/>
  <c r="Q66" i="2"/>
  <c r="D8" i="2" l="1"/>
  <c r="D239" i="2" l="1"/>
  <c r="D238" i="2"/>
  <c r="D246" i="2" s="1"/>
  <c r="D247" i="2" s="1"/>
  <c r="D248" i="2" s="1"/>
  <c r="C7" i="2" l="1"/>
  <c r="D5" i="2"/>
  <c r="D7" i="2" l="1"/>
  <c r="F22" i="2" l="1"/>
  <c r="G22" i="2" s="1"/>
  <c r="H22" i="2" s="1"/>
  <c r="J20" i="2" l="1"/>
  <c r="H20" i="2"/>
  <c r="R20" i="2"/>
  <c r="I20" i="2"/>
  <c r="Q20" i="2"/>
  <c r="N20" i="2"/>
  <c r="M20" i="2"/>
  <c r="G20" i="2"/>
  <c r="K20" i="2"/>
  <c r="O20" i="2"/>
  <c r="L20" i="2"/>
  <c r="F20" i="2"/>
  <c r="P20" i="2"/>
  <c r="Q26" i="2" l="1"/>
  <c r="Q24" i="2" s="1"/>
  <c r="G26" i="2"/>
  <c r="G24" i="2" s="1"/>
  <c r="P26" i="2"/>
  <c r="P24" i="2" s="1"/>
  <c r="M26" i="2"/>
  <c r="M24" i="2" s="1"/>
  <c r="L26" i="2"/>
  <c r="L24" i="2" s="1"/>
  <c r="N26" i="2"/>
  <c r="N24" i="2" s="1"/>
  <c r="H26" i="2"/>
  <c r="H24" i="2" s="1"/>
  <c r="O26" i="2"/>
  <c r="O24" i="2" s="1"/>
  <c r="I26" i="2"/>
  <c r="I24" i="2" s="1"/>
  <c r="R26" i="2"/>
  <c r="R24" i="2" s="1"/>
  <c r="R23" i="2" s="1"/>
  <c r="J26" i="2"/>
  <c r="J24" i="2" s="1"/>
  <c r="F26" i="2"/>
  <c r="F24" i="2" s="1"/>
  <c r="F23" i="2" s="1"/>
  <c r="K26" i="2"/>
  <c r="K24" i="2" s="1"/>
  <c r="D49" i="2"/>
  <c r="F49" i="2"/>
  <c r="F55" i="2" s="1"/>
  <c r="F54" i="2" l="1"/>
  <c r="F52" i="2" s="1"/>
  <c r="F53" i="2"/>
  <c r="F236" i="2"/>
  <c r="L25" i="2"/>
  <c r="I25" i="2"/>
  <c r="R25" i="2"/>
  <c r="G25" i="2"/>
  <c r="N25" i="2"/>
  <c r="E236" i="2"/>
  <c r="D51" i="2"/>
  <c r="D236" i="2"/>
  <c r="F25" i="2"/>
  <c r="J25" i="2"/>
  <c r="K25" i="2"/>
  <c r="M25" i="2"/>
  <c r="P25" i="2"/>
  <c r="O25" i="2"/>
  <c r="H25" i="2"/>
  <c r="Q25" i="2"/>
  <c r="G49" i="2"/>
  <c r="G55" i="2" l="1"/>
  <c r="G53" i="2" s="1"/>
  <c r="G236" i="2"/>
  <c r="H49" i="2"/>
  <c r="H55" i="2" l="1"/>
  <c r="H53" i="2" s="1"/>
  <c r="H236" i="2"/>
  <c r="G54" i="2"/>
  <c r="G52" i="2" s="1"/>
  <c r="I49" i="2"/>
  <c r="I55" i="2" l="1"/>
  <c r="I53" i="2" s="1"/>
  <c r="I236" i="2"/>
  <c r="H54" i="2"/>
  <c r="H52" i="2" s="1"/>
  <c r="J49" i="2"/>
  <c r="J55" i="2" l="1"/>
  <c r="J53" i="2" s="1"/>
  <c r="J236" i="2"/>
  <c r="I54" i="2"/>
  <c r="I52" i="2" s="1"/>
  <c r="K49" i="2"/>
  <c r="K55" i="2" l="1"/>
  <c r="K53" i="2" s="1"/>
  <c r="K236" i="2"/>
  <c r="J54" i="2"/>
  <c r="J52" i="2" s="1"/>
  <c r="L49" i="2"/>
  <c r="L55" i="2" l="1"/>
  <c r="L53" i="2" s="1"/>
  <c r="L236" i="2"/>
  <c r="K54" i="2"/>
  <c r="K52" i="2" s="1"/>
  <c r="M49" i="2"/>
  <c r="M55" i="2" l="1"/>
  <c r="M53" i="2" s="1"/>
  <c r="M236" i="2"/>
  <c r="L54" i="2"/>
  <c r="L52" i="2" s="1"/>
  <c r="N49" i="2"/>
  <c r="N55" i="2" l="1"/>
  <c r="N53" i="2" s="1"/>
  <c r="N236" i="2"/>
  <c r="M54" i="2"/>
  <c r="M52" i="2" s="1"/>
  <c r="O49" i="2"/>
  <c r="O55" i="2" l="1"/>
  <c r="O53" i="2" s="1"/>
  <c r="O236" i="2"/>
  <c r="N54" i="2"/>
  <c r="N52" i="2" s="1"/>
  <c r="R49" i="2"/>
  <c r="P49" i="2"/>
  <c r="Q49" i="2"/>
  <c r="Q55" i="2" l="1"/>
  <c r="Q53" i="2" s="1"/>
  <c r="Q236" i="2"/>
  <c r="P55" i="2"/>
  <c r="P53" i="2" s="1"/>
  <c r="P236" i="2"/>
  <c r="R55" i="2"/>
  <c r="R53" i="2" s="1"/>
  <c r="R236" i="2"/>
  <c r="O54" i="2"/>
  <c r="O52" i="2" s="1"/>
  <c r="F214" i="2"/>
  <c r="I214" i="2"/>
  <c r="O214" i="2"/>
  <c r="Q214" i="2"/>
  <c r="G214" i="2"/>
  <c r="M214" i="2"/>
  <c r="R214" i="2"/>
  <c r="K214" i="2"/>
  <c r="L214" i="2"/>
  <c r="H214" i="2"/>
  <c r="J214" i="2"/>
  <c r="N214" i="2"/>
  <c r="P214" i="2"/>
  <c r="R54" i="2" l="1"/>
  <c r="R52" i="2" s="1"/>
  <c r="P54" i="2"/>
  <c r="P52" i="2" s="1"/>
  <c r="Q54" i="2"/>
  <c r="Q52" i="2" s="1"/>
  <c r="E8" i="2" l="1"/>
  <c r="E243" i="2"/>
  <c r="E242" i="2"/>
  <c r="Q41" i="2" l="1"/>
  <c r="Q39" i="2" s="1"/>
  <c r="P41" i="2"/>
  <c r="P39" i="2" s="1"/>
  <c r="O41" i="2"/>
  <c r="N41" i="2"/>
  <c r="K41" i="2"/>
  <c r="K39" i="2" s="1"/>
  <c r="L41" i="2"/>
  <c r="L39" i="2" s="1"/>
  <c r="J41" i="2"/>
  <c r="M41" i="2"/>
  <c r="M39" i="2" s="1"/>
  <c r="I41" i="2"/>
  <c r="I39" i="2" s="1"/>
  <c r="H41" i="2"/>
  <c r="H40" i="2" s="1"/>
  <c r="H38" i="2" s="1"/>
  <c r="G41" i="2"/>
  <c r="R41" i="2"/>
  <c r="F41" i="2"/>
  <c r="R40" i="2" l="1"/>
  <c r="R38" i="2" s="1"/>
  <c r="R39" i="2"/>
  <c r="N40" i="2"/>
  <c r="N38" i="2" s="1"/>
  <c r="N39" i="2"/>
  <c r="J40" i="2"/>
  <c r="J38" i="2" s="1"/>
  <c r="J39" i="2"/>
  <c r="O40" i="2"/>
  <c r="O38" i="2" s="1"/>
  <c r="O39" i="2"/>
  <c r="G40" i="2"/>
  <c r="G38" i="2" s="1"/>
  <c r="L40" i="2"/>
  <c r="L38" i="2" s="1"/>
  <c r="P40" i="2"/>
  <c r="P38" i="2" s="1"/>
  <c r="Q40" i="2"/>
  <c r="Q38" i="2" s="1"/>
  <c r="M40" i="2"/>
  <c r="M38" i="2" s="1"/>
  <c r="I40" i="2"/>
  <c r="I38" i="2" s="1"/>
  <c r="F40" i="2"/>
  <c r="F38" i="2" s="1"/>
  <c r="K40" i="2"/>
  <c r="K38" i="2" s="1"/>
  <c r="F157" i="2" l="1"/>
  <c r="F153" i="2" s="1"/>
  <c r="G157" i="2" l="1"/>
  <c r="G153" i="2" s="1"/>
  <c r="I157" i="2"/>
  <c r="I153" i="2" s="1"/>
  <c r="H157" i="2"/>
  <c r="H153" i="2" s="1"/>
  <c r="K157" i="2" l="1"/>
  <c r="K153" i="2" s="1"/>
  <c r="J157" i="2"/>
  <c r="J153" i="2" s="1"/>
  <c r="L157" i="2" l="1"/>
  <c r="L153" i="2" s="1"/>
  <c r="M157" i="2" l="1"/>
  <c r="M153" i="2" s="1"/>
  <c r="N157" i="2" l="1"/>
  <c r="N153" i="2" s="1"/>
  <c r="O157" i="2" l="1"/>
  <c r="O153" i="2" s="1"/>
  <c r="E240" i="2" l="1"/>
  <c r="E241" i="2"/>
  <c r="G69" i="2" l="1"/>
  <c r="F69" i="2"/>
  <c r="F67" i="2" s="1"/>
  <c r="E66" i="2"/>
  <c r="E238" i="2" s="1"/>
  <c r="E247" i="2" s="1"/>
  <c r="E248" i="2" s="1"/>
  <c r="E67" i="2" l="1"/>
  <c r="E239" i="2" s="1"/>
  <c r="F68" i="2"/>
  <c r="F66" i="2" s="1"/>
  <c r="G68" i="2"/>
  <c r="G66" i="2" s="1"/>
  <c r="G67" i="2"/>
  <c r="F99" i="2" l="1"/>
  <c r="F95" i="2" s="1"/>
  <c r="F243" i="2"/>
  <c r="F242" i="2" s="1"/>
  <c r="G96" i="2" l="1"/>
  <c r="I243" i="2"/>
  <c r="I242" i="2" s="1"/>
  <c r="K243" i="2"/>
  <c r="K242" i="2" s="1"/>
  <c r="L243" i="2"/>
  <c r="L242" i="2" s="1"/>
  <c r="J99" i="2"/>
  <c r="J95" i="2" s="1"/>
  <c r="J243" i="2"/>
  <c r="J242" i="2" s="1"/>
  <c r="H243" i="2"/>
  <c r="H242" i="2" s="1"/>
  <c r="G243" i="2"/>
  <c r="G242" i="2" s="1"/>
  <c r="N243" i="2"/>
  <c r="N242" i="2" s="1"/>
  <c r="M243" i="2"/>
  <c r="M242" i="2" s="1"/>
  <c r="O243" i="2"/>
  <c r="O242" i="2" s="1"/>
  <c r="N99" i="2"/>
  <c r="N95" i="2" s="1"/>
  <c r="M99" i="2"/>
  <c r="M95" i="2" s="1"/>
  <c r="L99" i="2"/>
  <c r="L95" i="2" s="1"/>
  <c r="K99" i="2"/>
  <c r="K95" i="2" s="1"/>
  <c r="O99" i="2"/>
  <c r="O95" i="2" s="1"/>
  <c r="P99" i="2"/>
  <c r="P95" i="2" s="1"/>
  <c r="I99" i="2"/>
  <c r="I95" i="2" s="1"/>
  <c r="H99" i="2"/>
  <c r="H95" i="2" s="1"/>
  <c r="G99" i="2"/>
  <c r="G95" i="2"/>
  <c r="P243" i="2" l="1"/>
  <c r="P242" i="2" s="1"/>
  <c r="R99" i="2"/>
  <c r="R95" i="2" s="1"/>
  <c r="H213" i="2"/>
  <c r="H211" i="2" s="1"/>
  <c r="G213" i="2"/>
  <c r="G211" i="2" s="1"/>
  <c r="F213" i="2"/>
  <c r="F241" i="2"/>
  <c r="F240" i="2" s="1"/>
  <c r="F211" i="2" l="1"/>
  <c r="F239" i="2" s="1"/>
  <c r="Q243" i="2"/>
  <c r="Q242" i="2" s="1"/>
  <c r="Q99" i="2"/>
  <c r="Q95" i="2" s="1"/>
  <c r="R243" i="2"/>
  <c r="R242" i="2" s="1"/>
  <c r="H212" i="2"/>
  <c r="H210" i="2" s="1"/>
  <c r="H241" i="2"/>
  <c r="H240" i="2" s="1"/>
  <c r="G212" i="2"/>
  <c r="G210" i="2" s="1"/>
  <c r="F212" i="2"/>
  <c r="F210" i="2" s="1"/>
  <c r="F238" i="2" s="1"/>
  <c r="G241" i="2"/>
  <c r="G240" i="2" s="1"/>
  <c r="F245" i="2" l="1"/>
  <c r="F244" i="2" s="1"/>
  <c r="F248" i="2"/>
  <c r="I213" i="2"/>
  <c r="I211" i="2" s="1"/>
  <c r="I241" i="2" l="1"/>
  <c r="I240" i="2" s="1"/>
  <c r="I212" i="2"/>
  <c r="I210" i="2" s="1"/>
  <c r="J213" i="2"/>
  <c r="J211" i="2" s="1"/>
  <c r="K213" i="2" l="1"/>
  <c r="K211" i="2" s="1"/>
  <c r="J212" i="2"/>
  <c r="J210" i="2" s="1"/>
  <c r="J241" i="2"/>
  <c r="J240" i="2" s="1"/>
  <c r="K212" i="2" l="1"/>
  <c r="K210" i="2" s="1"/>
  <c r="K241" i="2"/>
  <c r="K240" i="2" s="1"/>
  <c r="L213" i="2"/>
  <c r="L211" i="2" s="1"/>
  <c r="M213" i="2" l="1"/>
  <c r="M211" i="2" s="1"/>
  <c r="L212" i="2"/>
  <c r="L210" i="2" s="1"/>
  <c r="L241" i="2"/>
  <c r="L240" i="2" s="1"/>
  <c r="M241" i="2" l="1"/>
  <c r="M240" i="2" s="1"/>
  <c r="M212" i="2"/>
  <c r="M210" i="2" s="1"/>
  <c r="N213" i="2"/>
  <c r="N211" i="2" s="1"/>
  <c r="N212" i="2" l="1"/>
  <c r="N210" i="2" s="1"/>
  <c r="N241" i="2"/>
  <c r="N240" i="2" s="1"/>
  <c r="O213" i="2"/>
  <c r="O211" i="2" s="1"/>
  <c r="O241" i="2" l="1"/>
  <c r="O240" i="2" s="1"/>
  <c r="O212" i="2"/>
  <c r="O210" i="2" s="1"/>
  <c r="P213" i="2"/>
  <c r="P211" i="2" s="1"/>
  <c r="P212" i="2" l="1"/>
  <c r="P210" i="2" s="1"/>
  <c r="P241" i="2"/>
  <c r="P240" i="2" s="1"/>
  <c r="R213" i="2"/>
  <c r="R211" i="2" s="1"/>
  <c r="Q213" i="2"/>
  <c r="Q211" i="2" s="1"/>
  <c r="Q241" i="2" l="1"/>
  <c r="Q240" i="2" s="1"/>
  <c r="Q212" i="2"/>
  <c r="Q210" i="2" s="1"/>
  <c r="R212" i="2"/>
  <c r="R210" i="2" s="1"/>
  <c r="R238" i="2" s="1"/>
  <c r="R241" i="2"/>
  <c r="R240" i="2" s="1"/>
  <c r="R239" i="2"/>
  <c r="R248" i="2" l="1"/>
  <c r="R245" i="2"/>
  <c r="R244" i="2" s="1"/>
  <c r="Q239" i="2" l="1"/>
  <c r="Q248" i="2" s="1"/>
  <c r="P239" i="2"/>
  <c r="P248" i="2" s="1"/>
  <c r="O239" i="2"/>
  <c r="O248" i="2" s="1"/>
  <c r="N239" i="2"/>
  <c r="N248" i="2" s="1"/>
  <c r="M239" i="2"/>
  <c r="M245" i="2" s="1"/>
  <c r="M244" i="2" s="1"/>
  <c r="L239" i="2"/>
  <c r="L248" i="2" s="1"/>
  <c r="K239" i="2"/>
  <c r="K248" i="2" s="1"/>
  <c r="J239" i="2"/>
  <c r="J245" i="2" s="1"/>
  <c r="J244" i="2" s="1"/>
  <c r="I239" i="2"/>
  <c r="I248" i="2" s="1"/>
  <c r="H239" i="2"/>
  <c r="H248" i="2" s="1"/>
  <c r="G239" i="2"/>
  <c r="G245" i="2" s="1"/>
  <c r="G244" i="2" s="1"/>
  <c r="M23" i="2"/>
  <c r="M238" i="2" s="1"/>
  <c r="G23" i="2"/>
  <c r="G238" i="2" s="1"/>
  <c r="N23" i="2"/>
  <c r="N238" i="2" s="1"/>
  <c r="P23" i="2"/>
  <c r="P238" i="2" s="1"/>
  <c r="J23" i="2"/>
  <c r="J238" i="2" s="1"/>
  <c r="I23" i="2"/>
  <c r="I238" i="2" s="1"/>
  <c r="H23" i="2"/>
  <c r="H238" i="2" s="1"/>
  <c r="K23" i="2"/>
  <c r="K238" i="2" s="1"/>
  <c r="Q23" i="2"/>
  <c r="Q238" i="2" s="1"/>
  <c r="O23" i="2"/>
  <c r="O238" i="2" s="1"/>
  <c r="L23" i="2"/>
  <c r="L238" i="2" s="1"/>
  <c r="M248" i="2" l="1"/>
  <c r="P245" i="2"/>
  <c r="P244" i="2" s="1"/>
  <c r="J248" i="2"/>
  <c r="G248" i="2"/>
  <c r="H245" i="2"/>
  <c r="H244" i="2" s="1"/>
  <c r="K245" i="2"/>
  <c r="K244" i="2" s="1"/>
  <c r="N245" i="2"/>
  <c r="N244" i="2" s="1"/>
  <c r="Q245" i="2"/>
  <c r="Q244" i="2" s="1"/>
  <c r="I245" i="2"/>
  <c r="I244" i="2" s="1"/>
  <c r="L245" i="2"/>
  <c r="L244" i="2" s="1"/>
  <c r="O245" i="2"/>
  <c r="O244" i="2" s="1"/>
</calcChain>
</file>

<file path=xl/sharedStrings.xml><?xml version="1.0" encoding="utf-8"?>
<sst xmlns="http://schemas.openxmlformats.org/spreadsheetml/2006/main" count="233" uniqueCount="39">
  <si>
    <t xml:space="preserve">Haabneeme aleviku reoveebilanss </t>
  </si>
  <si>
    <t>Näitaja</t>
  </si>
  <si>
    <t>2023*</t>
  </si>
  <si>
    <t>Elanike arv</t>
  </si>
  <si>
    <t>ühiskanalisatsiooniteenusega liitunud elanike ligikaudne arv</t>
  </si>
  <si>
    <t>ühiskanalisatsiooniteenusega varustatus, %</t>
  </si>
  <si>
    <t>Elanike ühiktarbimine, l/in/d</t>
  </si>
  <si>
    <t>kanalisatsiooniteenuse müük kokku, m3/a</t>
  </si>
  <si>
    <t>kanalisatsiooniteenuse müük kokku, m3/d</t>
  </si>
  <si>
    <t>kanalisatsiooniteenuse müük elanikud, m3/a</t>
  </si>
  <si>
    <t>kanalisatsiooniteenuse müük elanikud, m3/d</t>
  </si>
  <si>
    <t>kanalisatsiooniteenuse müük jur is., m3/a</t>
  </si>
  <si>
    <t>kanalisatsiooniteenuse müük jur is., m3/d</t>
  </si>
  <si>
    <t>kanalisatsiooniteenuse müük jur is. tulenevalt uutest ettevõtluspiirkondadest, m3/d</t>
  </si>
  <si>
    <t xml:space="preserve">Viimsi aleviku reoveebilanss </t>
  </si>
  <si>
    <t xml:space="preserve">Laiaküla küla reoveebilanss </t>
  </si>
  <si>
    <t xml:space="preserve">Leppneeme küla reoveebilanss </t>
  </si>
  <si>
    <t>Lubja küla reoveebilanss</t>
  </si>
  <si>
    <t xml:space="preserve">Metsakasti küla reoveebilanss </t>
  </si>
  <si>
    <t xml:space="preserve">Miiduranna küla reoveebilanss </t>
  </si>
  <si>
    <t>Elanike ühiktarbimine, l/in/d*</t>
  </si>
  <si>
    <t xml:space="preserve">Muuga küla reoveebilanss </t>
  </si>
  <si>
    <t>kanalisatsiooniteenuse müük jur is., m3/a (tulenevalt uutest ettevõtluspiirkondadest)</t>
  </si>
  <si>
    <t>kanalisatsiooniteenuse müük jur is., m3/d (tulenevalt uutest ettevõtluspiirkondadest)</t>
  </si>
  <si>
    <t xml:space="preserve">Pringi küla reoveebilanss </t>
  </si>
  <si>
    <t xml:space="preserve">Pärnamäe küla reoveebilanss </t>
  </si>
  <si>
    <t xml:space="preserve">Püünsi küla reoveebilanss </t>
  </si>
  <si>
    <t xml:space="preserve">Randvere küla reoveebilanss </t>
  </si>
  <si>
    <t xml:space="preserve">Rohuneeme küla reoveebilanss </t>
  </si>
  <si>
    <t xml:space="preserve">Tammneeme küla reoveebilanss </t>
  </si>
  <si>
    <t xml:space="preserve">Äigrumäe küla reoveebilanss </t>
  </si>
  <si>
    <t xml:space="preserve">Kelvingi küla reoveebilanss </t>
  </si>
  <si>
    <t>Kokku Viimsi vald reoveebilanss</t>
  </si>
  <si>
    <r>
      <t>Reoveepuhastis käideldav reovesi ja väljuv heitvesi,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  <r>
      <rPr>
        <sz val="10"/>
        <color theme="1"/>
        <rFont val="Arial"/>
        <family val="2"/>
        <charset val="186"/>
      </rPr>
      <t>**</t>
    </r>
  </si>
  <si>
    <r>
      <t>Reoveepuhastis käideldav reovesi ja väljuv heitvesi,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  <r>
      <rPr>
        <sz val="10"/>
        <color theme="1"/>
        <rFont val="Arial"/>
        <family val="2"/>
        <charset val="186"/>
      </rPr>
      <t>**</t>
    </r>
  </si>
  <si>
    <r>
      <t>Infiltratsioon ja sademevesi,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  <r>
      <rPr>
        <sz val="10"/>
        <color theme="1"/>
        <rFont val="Arial"/>
        <family val="2"/>
        <charset val="186"/>
      </rPr>
      <t>**</t>
    </r>
  </si>
  <si>
    <r>
      <t>Infiltratsioon ja sademevesi,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  <r>
      <rPr>
        <sz val="10"/>
        <color theme="1"/>
        <rFont val="Arial"/>
        <family val="2"/>
        <charset val="186"/>
      </rPr>
      <t>**</t>
    </r>
  </si>
  <si>
    <t>Infiltratsioon ja sademevesi, %</t>
  </si>
  <si>
    <t>*2023. a kogused on võetud 01.01.-30.06.2023 reaalse kogutud reovee vooluhulga alusel ja taandatud aastaseks veevõtuks                                         **Allikas: Veekasutusaruanne 2021,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</si>
</sst>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2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vertAlign val="superscript"/>
      <sz val="10"/>
      <color indexed="8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164" fontId="8" fillId="0" borderId="0" xfId="0" applyNumberFormat="1" applyFont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1" fontId="9" fillId="0" borderId="1" xfId="0" applyNumberFormat="1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justify" vertical="top" wrapText="1"/>
    </xf>
    <xf numFmtId="164" fontId="10" fillId="0" borderId="1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1" fontId="10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1" fontId="10" fillId="0" borderId="0" xfId="0" applyNumberFormat="1" applyFont="1" applyAlignment="1">
      <alignment horizontal="justify" vertical="top" wrapText="1"/>
    </xf>
    <xf numFmtId="1" fontId="10" fillId="3" borderId="1" xfId="0" applyNumberFormat="1" applyFont="1" applyFill="1" applyBorder="1" applyAlignment="1">
      <alignment horizontal="justify" vertical="top" wrapText="1"/>
    </xf>
    <xf numFmtId="1" fontId="10" fillId="3" borderId="0" xfId="0" applyNumberFormat="1" applyFont="1" applyFill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164" fontId="10" fillId="3" borderId="1" xfId="0" applyNumberFormat="1" applyFont="1" applyFill="1" applyBorder="1" applyAlignment="1">
      <alignment horizontal="justify" vertical="top" wrapText="1"/>
    </xf>
    <xf numFmtId="1" fontId="10" fillId="2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justify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164" fontId="10" fillId="0" borderId="1" xfId="0" applyNumberFormat="1" applyFont="1" applyBorder="1" applyAlignment="1">
      <alignment horizontal="justify" vertical="center" wrapText="1"/>
    </xf>
    <xf numFmtId="1" fontId="10" fillId="3" borderId="1" xfId="0" applyNumberFormat="1" applyFont="1" applyFill="1" applyBorder="1" applyAlignment="1">
      <alignment horizontal="justify" vertical="center" wrapText="1"/>
    </xf>
    <xf numFmtId="1" fontId="0" fillId="0" borderId="0" xfId="0" applyNumberFormat="1"/>
    <xf numFmtId="164" fontId="14" fillId="0" borderId="0" xfId="0" applyNumberFormat="1" applyFont="1" applyAlignment="1">
      <alignment horizontal="justify" vertical="center" wrapText="1"/>
    </xf>
    <xf numFmtId="164" fontId="10" fillId="0" borderId="0" xfId="0" applyNumberFormat="1" applyFont="1" applyAlignment="1">
      <alignment horizontal="justify" vertical="center" wrapText="1"/>
    </xf>
    <xf numFmtId="1" fontId="10" fillId="0" borderId="2" xfId="0" applyNumberFormat="1" applyFont="1" applyBorder="1" applyAlignment="1">
      <alignment horizontal="justify" vertical="top" wrapText="1"/>
    </xf>
    <xf numFmtId="1" fontId="0" fillId="0" borderId="3" xfId="0" applyNumberFormat="1" applyBorder="1" applyAlignment="1">
      <alignment horizontal="left"/>
    </xf>
    <xf numFmtId="0" fontId="15" fillId="0" borderId="0" xfId="0" applyFont="1"/>
    <xf numFmtId="164" fontId="10" fillId="0" borderId="0" xfId="0" applyNumberFormat="1" applyFont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164" fontId="16" fillId="0" borderId="1" xfId="0" applyNumberFormat="1" applyFont="1" applyBorder="1" applyAlignment="1">
      <alignment horizontal="justify" vertical="center" wrapText="1"/>
    </xf>
    <xf numFmtId="1" fontId="16" fillId="0" borderId="1" xfId="0" applyNumberFormat="1" applyFont="1" applyBorder="1" applyAlignment="1">
      <alignment horizontal="justify" vertical="top" wrapText="1"/>
    </xf>
    <xf numFmtId="1" fontId="16" fillId="0" borderId="1" xfId="0" applyNumberFormat="1" applyFont="1" applyBorder="1" applyAlignment="1">
      <alignment horizontal="justify" vertical="center" wrapText="1"/>
    </xf>
    <xf numFmtId="164" fontId="15" fillId="0" borderId="0" xfId="0" applyNumberFormat="1" applyFont="1"/>
    <xf numFmtId="164" fontId="10" fillId="0" borderId="0" xfId="0" applyNumberFormat="1" applyFont="1" applyAlignment="1">
      <alignment horizontal="right" vertical="top" wrapText="1"/>
    </xf>
    <xf numFmtId="0" fontId="16" fillId="0" borderId="0" xfId="0" applyFont="1"/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center"/>
    </xf>
    <xf numFmtId="165" fontId="8" fillId="0" borderId="0" xfId="0" applyNumberFormat="1" applyFont="1" applyAlignment="1">
      <alignment horizontal="justify" vertical="top" wrapText="1"/>
    </xf>
    <xf numFmtId="165" fontId="0" fillId="0" borderId="0" xfId="0" applyNumberFormat="1"/>
    <xf numFmtId="1" fontId="15" fillId="0" borderId="0" xfId="0" applyNumberFormat="1" applyFont="1"/>
    <xf numFmtId="0" fontId="12" fillId="0" borderId="1" xfId="0" applyFont="1" applyBorder="1" applyAlignment="1">
      <alignment horizontal="left" vertical="top" wrapText="1"/>
    </xf>
    <xf numFmtId="1" fontId="21" fillId="0" borderId="1" xfId="0" applyNumberFormat="1" applyFont="1" applyBorder="1" applyAlignment="1">
      <alignment horizontal="justify" vertical="top" wrapText="1"/>
    </xf>
    <xf numFmtId="1" fontId="20" fillId="0" borderId="0" xfId="0" applyNumberFormat="1" applyFont="1" applyAlignment="1">
      <alignment horizontal="left"/>
    </xf>
    <xf numFmtId="0" fontId="11" fillId="0" borderId="0" xfId="0" applyFont="1" applyAlignment="1">
      <alignment horizontal="justify"/>
    </xf>
    <xf numFmtId="0" fontId="10" fillId="0" borderId="0" xfId="0" applyFont="1"/>
    <xf numFmtId="0" fontId="17" fillId="0" borderId="0" xfId="0" applyFont="1" applyAlignment="1">
      <alignment horizontal="justify"/>
    </xf>
    <xf numFmtId="0" fontId="16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9"/>
  <sheetViews>
    <sheetView tabSelected="1" topLeftCell="A233" workbookViewId="0">
      <selection activeCell="P250" sqref="P250"/>
    </sheetView>
  </sheetViews>
  <sheetFormatPr defaultRowHeight="13.2" x14ac:dyDescent="0.25"/>
  <cols>
    <col min="1" max="1" width="9.109375" style="46"/>
    <col min="2" max="2" width="39.88671875" customWidth="1"/>
    <col min="3" max="4" width="8.33203125" customWidth="1"/>
    <col min="5" max="5" width="9.109375" customWidth="1"/>
    <col min="6" max="18" width="8.33203125" customWidth="1"/>
  </cols>
  <sheetData>
    <row r="1" spans="1:20" ht="15.6" x14ac:dyDescent="0.3">
      <c r="B1" s="57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20" ht="15.6" x14ac:dyDescent="0.3">
      <c r="A2" s="46">
        <v>1</v>
      </c>
      <c r="B2" s="57" t="s">
        <v>0</v>
      </c>
      <c r="C2" s="57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20" x14ac:dyDescent="0.25">
      <c r="B3" s="4" t="s">
        <v>1</v>
      </c>
      <c r="C3" s="18">
        <v>2021</v>
      </c>
      <c r="D3" s="18">
        <v>2022</v>
      </c>
      <c r="E3" s="18" t="s">
        <v>2</v>
      </c>
      <c r="F3" s="18">
        <v>2024</v>
      </c>
      <c r="G3" s="18">
        <v>2025</v>
      </c>
      <c r="H3" s="18">
        <v>2026</v>
      </c>
      <c r="I3" s="18">
        <v>2027</v>
      </c>
      <c r="J3" s="18">
        <v>2028</v>
      </c>
      <c r="K3" s="18">
        <v>2029</v>
      </c>
      <c r="L3" s="18">
        <v>2030</v>
      </c>
      <c r="M3" s="18">
        <v>2031</v>
      </c>
      <c r="N3" s="18">
        <v>2032</v>
      </c>
      <c r="O3" s="19">
        <v>2033</v>
      </c>
      <c r="P3" s="19">
        <v>2034</v>
      </c>
      <c r="Q3" s="19">
        <v>2035</v>
      </c>
      <c r="R3" s="19">
        <v>2036</v>
      </c>
    </row>
    <row r="4" spans="1:20" x14ac:dyDescent="0.25">
      <c r="B4" s="4" t="s">
        <v>3</v>
      </c>
      <c r="C4" s="4">
        <v>6811</v>
      </c>
      <c r="D4" s="4">
        <v>7265</v>
      </c>
      <c r="E4" s="4">
        <v>7359</v>
      </c>
      <c r="F4" s="6">
        <v>7453.7900000000009</v>
      </c>
      <c r="G4" s="6">
        <v>7622.1400000000012</v>
      </c>
      <c r="H4" s="6">
        <v>7770.1500000000015</v>
      </c>
      <c r="I4" s="6">
        <v>7902.4100000000017</v>
      </c>
      <c r="J4" s="6">
        <v>8034.6700000000019</v>
      </c>
      <c r="K4" s="6">
        <v>8105.9100000000026</v>
      </c>
      <c r="L4" s="6">
        <v>8177.1500000000033</v>
      </c>
      <c r="M4" s="6">
        <v>8248.3900000000049</v>
      </c>
      <c r="N4" s="6">
        <v>8304.8700000000044</v>
      </c>
      <c r="O4" s="6">
        <v>8337.0000000000036</v>
      </c>
      <c r="P4" s="6">
        <v>8337.0000000000036</v>
      </c>
      <c r="Q4" s="6">
        <v>8337.0000000000036</v>
      </c>
      <c r="R4" s="6">
        <v>8337.0000000000036</v>
      </c>
    </row>
    <row r="5" spans="1:20" ht="26.4" x14ac:dyDescent="0.25">
      <c r="B5" s="4" t="s">
        <v>4</v>
      </c>
      <c r="C5" s="6">
        <f>C4*C6/100</f>
        <v>6606.67</v>
      </c>
      <c r="D5" s="6">
        <f>D4*D6/100</f>
        <v>7047.05</v>
      </c>
      <c r="E5" s="6">
        <f t="shared" ref="E5:R5" si="0">E4*E6/100</f>
        <v>7138.23</v>
      </c>
      <c r="F5" s="6">
        <f t="shared" si="0"/>
        <v>7304.7142000000003</v>
      </c>
      <c r="G5" s="6">
        <f t="shared" si="0"/>
        <v>7553.5407400000004</v>
      </c>
      <c r="H5" s="6">
        <f t="shared" si="0"/>
        <v>7700.2186500000007</v>
      </c>
      <c r="I5" s="6">
        <f t="shared" si="0"/>
        <v>7831.2883100000008</v>
      </c>
      <c r="J5" s="6">
        <f t="shared" si="0"/>
        <v>7970.3926400000018</v>
      </c>
      <c r="K5" s="6">
        <f t="shared" si="0"/>
        <v>8041.0627200000026</v>
      </c>
      <c r="L5" s="6">
        <f t="shared" si="0"/>
        <v>8111.7328000000034</v>
      </c>
      <c r="M5" s="6">
        <f t="shared" si="0"/>
        <v>8182.4028800000051</v>
      </c>
      <c r="N5" s="6">
        <f t="shared" si="0"/>
        <v>8238.4310400000049</v>
      </c>
      <c r="O5" s="6">
        <f t="shared" si="0"/>
        <v>8270.3040000000037</v>
      </c>
      <c r="P5" s="6">
        <f t="shared" si="0"/>
        <v>8270.3040000000037</v>
      </c>
      <c r="Q5" s="6">
        <f t="shared" si="0"/>
        <v>8270.3040000000037</v>
      </c>
      <c r="R5" s="6">
        <f t="shared" si="0"/>
        <v>8270.3040000000037</v>
      </c>
    </row>
    <row r="6" spans="1:20" x14ac:dyDescent="0.25">
      <c r="B6" s="4" t="s">
        <v>5</v>
      </c>
      <c r="C6" s="6">
        <v>97</v>
      </c>
      <c r="D6" s="6">
        <v>97</v>
      </c>
      <c r="E6" s="6">
        <v>97</v>
      </c>
      <c r="F6" s="6">
        <v>98</v>
      </c>
      <c r="G6" s="6">
        <v>99.1</v>
      </c>
      <c r="H6" s="6">
        <v>99.1</v>
      </c>
      <c r="I6" s="6">
        <v>99.1</v>
      </c>
      <c r="J6" s="6">
        <v>99.2</v>
      </c>
      <c r="K6" s="6">
        <v>99.2</v>
      </c>
      <c r="L6" s="6">
        <v>99.2</v>
      </c>
      <c r="M6" s="6">
        <v>99.2</v>
      </c>
      <c r="N6" s="6">
        <v>99.2</v>
      </c>
      <c r="O6" s="6">
        <v>99.2</v>
      </c>
      <c r="P6" s="6">
        <v>99.2</v>
      </c>
      <c r="Q6" s="6">
        <v>99.2</v>
      </c>
      <c r="R6" s="6">
        <v>99.2</v>
      </c>
    </row>
    <row r="7" spans="1:20" x14ac:dyDescent="0.25">
      <c r="B7" s="4" t="s">
        <v>6</v>
      </c>
      <c r="C7" s="6">
        <f>C11/C5*1000</f>
        <v>116.09438041766467</v>
      </c>
      <c r="D7" s="6">
        <f>D11/D5*1000</f>
        <v>105.04230226327095</v>
      </c>
      <c r="E7" s="6">
        <f>E11/E5*1000</f>
        <v>106.31262622534614</v>
      </c>
      <c r="F7" s="6">
        <f>+E7+0.5</f>
        <v>106.81262622534614</v>
      </c>
      <c r="G7" s="6">
        <f>+F7+1.1</f>
        <v>107.91262622534613</v>
      </c>
      <c r="H7" s="6">
        <f>+G7+1.2</f>
        <v>109.11262622534613</v>
      </c>
      <c r="I7" s="6">
        <v>108.44463622813623</v>
      </c>
      <c r="J7" s="6">
        <v>109.69463622813623</v>
      </c>
      <c r="K7" s="6">
        <v>110.94463622813623</v>
      </c>
      <c r="L7" s="6">
        <v>112.19463622813623</v>
      </c>
      <c r="M7" s="6">
        <v>113.44463622813623</v>
      </c>
      <c r="N7" s="6">
        <v>114.69463622813623</v>
      </c>
      <c r="O7" s="6">
        <v>115.94463622813623</v>
      </c>
      <c r="P7" s="6">
        <v>117.19463622813623</v>
      </c>
      <c r="Q7" s="6">
        <v>118.44463622813623</v>
      </c>
      <c r="R7" s="6">
        <v>119.69463622813623</v>
      </c>
    </row>
    <row r="8" spans="1:20" x14ac:dyDescent="0.25">
      <c r="B8" s="4" t="s">
        <v>7</v>
      </c>
      <c r="C8" s="10">
        <f>+C10+C12</f>
        <v>378269</v>
      </c>
      <c r="D8" s="10">
        <f>+D10+D12</f>
        <v>374369</v>
      </c>
      <c r="E8" s="10">
        <f t="shared" ref="E8" si="1">+E10+E12</f>
        <v>393389.33701657457</v>
      </c>
      <c r="F8" s="10">
        <f>F9*365</f>
        <v>417524.64349720976</v>
      </c>
      <c r="G8" s="10">
        <f t="shared" ref="G8:R8" si="2">G9*365</f>
        <v>442454.98641998199</v>
      </c>
      <c r="H8" s="10">
        <f t="shared" si="2"/>
        <v>453034.74398497463</v>
      </c>
      <c r="I8" s="10">
        <f t="shared" si="2"/>
        <v>463280.34237109614</v>
      </c>
      <c r="J8" s="10">
        <f t="shared" si="2"/>
        <v>481547.90225267829</v>
      </c>
      <c r="K8" s="10">
        <f t="shared" si="2"/>
        <v>497171.16410068015</v>
      </c>
      <c r="L8" s="10">
        <f t="shared" si="2"/>
        <v>512858.91239668208</v>
      </c>
      <c r="M8" s="10">
        <f t="shared" si="2"/>
        <v>528611.14714068396</v>
      </c>
      <c r="N8" s="10">
        <f t="shared" si="2"/>
        <v>543814.90569653607</v>
      </c>
      <c r="O8" s="10">
        <f t="shared" si="2"/>
        <v>550747.54690327658</v>
      </c>
      <c r="P8" s="10">
        <f t="shared" si="2"/>
        <v>576420.87310327659</v>
      </c>
      <c r="Q8" s="10">
        <f t="shared" si="2"/>
        <v>592969.1993032766</v>
      </c>
      <c r="R8" s="10">
        <f t="shared" si="2"/>
        <v>613167.52550327661</v>
      </c>
    </row>
    <row r="9" spans="1:20" x14ac:dyDescent="0.25">
      <c r="B9" s="4" t="s">
        <v>8</v>
      </c>
      <c r="C9" s="6">
        <f>C8/365</f>
        <v>1036.3534246575343</v>
      </c>
      <c r="D9" s="6">
        <v>1025</v>
      </c>
      <c r="E9" s="6">
        <f>E8/365</f>
        <v>1077.7790055248618</v>
      </c>
      <c r="F9" s="6">
        <f t="shared" ref="F9:R9" si="3">+F11+F13+F14</f>
        <v>1143.9031328690678</v>
      </c>
      <c r="G9" s="6">
        <f t="shared" si="3"/>
        <v>1212.205442246526</v>
      </c>
      <c r="H9" s="6">
        <f t="shared" si="3"/>
        <v>1241.1910794108894</v>
      </c>
      <c r="I9" s="6">
        <f t="shared" si="3"/>
        <v>1269.2612119756059</v>
      </c>
      <c r="J9" s="6">
        <f t="shared" si="3"/>
        <v>1319.3093212402146</v>
      </c>
      <c r="K9" s="6">
        <f t="shared" si="3"/>
        <v>1362.1127783580278</v>
      </c>
      <c r="L9" s="6">
        <f t="shared" si="3"/>
        <v>1405.0929106758413</v>
      </c>
      <c r="M9" s="6">
        <f t="shared" si="3"/>
        <v>1448.2497181936546</v>
      </c>
      <c r="N9" s="6">
        <f t="shared" si="3"/>
        <v>1489.9038512233865</v>
      </c>
      <c r="O9" s="6">
        <f t="shared" si="3"/>
        <v>1508.8973887761003</v>
      </c>
      <c r="P9" s="6">
        <f t="shared" si="3"/>
        <v>1579.2352687761004</v>
      </c>
      <c r="Q9" s="6">
        <f t="shared" si="3"/>
        <v>1624.5731487761004</v>
      </c>
      <c r="R9" s="6">
        <f t="shared" si="3"/>
        <v>1679.9110287761005</v>
      </c>
      <c r="S9" s="29"/>
    </row>
    <row r="10" spans="1:20" x14ac:dyDescent="0.25">
      <c r="B10" s="4" t="s">
        <v>9</v>
      </c>
      <c r="C10" s="6">
        <v>279954</v>
      </c>
      <c r="D10" s="6">
        <v>270187</v>
      </c>
      <c r="E10" s="6">
        <f>137358/181*365</f>
        <v>276992.65193370165</v>
      </c>
      <c r="F10" s="6">
        <f>F11*366</f>
        <v>285566.26895509369</v>
      </c>
      <c r="G10" s="6">
        <f t="shared" ref="G10:Q12" si="4">G11*365</f>
        <v>297519.68277204374</v>
      </c>
      <c r="H10" s="6">
        <f t="shared" si="4"/>
        <v>306669.74398497463</v>
      </c>
      <c r="I10" s="6">
        <f t="shared" si="4"/>
        <v>309980.34237109608</v>
      </c>
      <c r="J10" s="6">
        <f>J11*366</f>
        <v>319997.21157391858</v>
      </c>
      <c r="K10" s="6">
        <f t="shared" si="4"/>
        <v>325621.16410068015</v>
      </c>
      <c r="L10" s="6">
        <f t="shared" si="4"/>
        <v>332183.91239668208</v>
      </c>
      <c r="M10" s="6">
        <f t="shared" si="4"/>
        <v>338811.14714068401</v>
      </c>
      <c r="N10" s="6">
        <f>N11*366</f>
        <v>345834.80954775948</v>
      </c>
      <c r="O10" s="6">
        <f t="shared" si="4"/>
        <v>349997.54690327664</v>
      </c>
      <c r="P10" s="6">
        <f t="shared" si="4"/>
        <v>353770.87310327671</v>
      </c>
      <c r="Q10" s="6">
        <f t="shared" si="4"/>
        <v>357544.19930327672</v>
      </c>
      <c r="R10" s="6">
        <f>R11*366</f>
        <v>362307.43653205276</v>
      </c>
      <c r="S10" s="32"/>
      <c r="T10" s="29"/>
    </row>
    <row r="11" spans="1:20" x14ac:dyDescent="0.25">
      <c r="B11" s="4" t="s">
        <v>10</v>
      </c>
      <c r="C11" s="6">
        <f>C10/365</f>
        <v>766.99726027397264</v>
      </c>
      <c r="D11" s="6">
        <f>D10/365</f>
        <v>740.23835616438362</v>
      </c>
      <c r="E11" s="6">
        <f>E10/365</f>
        <v>758.88397790055251</v>
      </c>
      <c r="F11" s="6">
        <f t="shared" ref="F11:R11" si="5">F5*F7/1000</f>
        <v>780.23570752757837</v>
      </c>
      <c r="G11" s="6">
        <f t="shared" si="5"/>
        <v>815.12241855354443</v>
      </c>
      <c r="H11" s="6">
        <f t="shared" si="5"/>
        <v>840.19107941088942</v>
      </c>
      <c r="I11" s="6">
        <f t="shared" si="5"/>
        <v>849.26121197560576</v>
      </c>
      <c r="J11" s="6">
        <f t="shared" si="5"/>
        <v>874.30932124021467</v>
      </c>
      <c r="K11" s="6">
        <f t="shared" si="5"/>
        <v>892.11277835802787</v>
      </c>
      <c r="L11" s="6">
        <f t="shared" si="5"/>
        <v>910.09291067584138</v>
      </c>
      <c r="M11" s="6">
        <f t="shared" si="5"/>
        <v>928.24971819365476</v>
      </c>
      <c r="N11" s="6">
        <f t="shared" si="5"/>
        <v>944.9038512233866</v>
      </c>
      <c r="O11" s="6">
        <f t="shared" si="5"/>
        <v>958.89738877610046</v>
      </c>
      <c r="P11" s="6">
        <f t="shared" si="5"/>
        <v>969.2352687761005</v>
      </c>
      <c r="Q11" s="6">
        <f t="shared" si="5"/>
        <v>979.57314877610054</v>
      </c>
      <c r="R11" s="6">
        <f t="shared" si="5"/>
        <v>989.91102877610047</v>
      </c>
      <c r="T11" s="12"/>
    </row>
    <row r="12" spans="1:20" x14ac:dyDescent="0.25">
      <c r="B12" s="4" t="s">
        <v>11</v>
      </c>
      <c r="C12" s="6">
        <v>98315</v>
      </c>
      <c r="D12" s="6">
        <v>104182</v>
      </c>
      <c r="E12" s="6">
        <f>57720/181*365</f>
        <v>116396.68508287292</v>
      </c>
      <c r="F12" s="6">
        <f>F13*366</f>
        <v>133102.27767498512</v>
      </c>
      <c r="G12" s="6">
        <f t="shared" si="4"/>
        <v>144935.3036479383</v>
      </c>
      <c r="H12" s="6">
        <f t="shared" si="4"/>
        <v>146365</v>
      </c>
      <c r="I12" s="6">
        <f t="shared" si="4"/>
        <v>153300</v>
      </c>
      <c r="J12" s="6">
        <f>J13*366</f>
        <v>162870</v>
      </c>
      <c r="K12" s="6">
        <f t="shared" si="4"/>
        <v>171550</v>
      </c>
      <c r="L12" s="6">
        <f t="shared" si="4"/>
        <v>180675</v>
      </c>
      <c r="M12" s="6">
        <f t="shared" si="4"/>
        <v>189800</v>
      </c>
      <c r="N12" s="6">
        <f>N13*366</f>
        <v>199470</v>
      </c>
      <c r="O12" s="6">
        <f t="shared" si="4"/>
        <v>200750</v>
      </c>
      <c r="P12" s="6">
        <f t="shared" si="4"/>
        <v>211700</v>
      </c>
      <c r="Q12" s="6">
        <f t="shared" si="4"/>
        <v>222650</v>
      </c>
      <c r="R12" s="6">
        <f>R13*366</f>
        <v>239730</v>
      </c>
    </row>
    <row r="13" spans="1:20" x14ac:dyDescent="0.25">
      <c r="B13" s="4" t="s">
        <v>12</v>
      </c>
      <c r="C13" s="6">
        <f>C12/365</f>
        <v>269.35616438356163</v>
      </c>
      <c r="D13" s="6">
        <f>D12/365</f>
        <v>285.43013698630136</v>
      </c>
      <c r="E13" s="6">
        <f>E12/365</f>
        <v>318.89502762430936</v>
      </c>
      <c r="F13" s="6">
        <v>363.66742534148943</v>
      </c>
      <c r="G13" s="6">
        <v>397.08302369298161</v>
      </c>
      <c r="H13" s="6">
        <v>401</v>
      </c>
      <c r="I13" s="6">
        <v>420</v>
      </c>
      <c r="J13" s="6">
        <v>445</v>
      </c>
      <c r="K13" s="6">
        <v>470</v>
      </c>
      <c r="L13" s="6">
        <v>495</v>
      </c>
      <c r="M13" s="6">
        <v>520</v>
      </c>
      <c r="N13" s="6">
        <v>545</v>
      </c>
      <c r="O13" s="6">
        <v>550</v>
      </c>
      <c r="P13" s="6">
        <v>580</v>
      </c>
      <c r="Q13" s="6">
        <v>610</v>
      </c>
      <c r="R13" s="6">
        <v>655</v>
      </c>
      <c r="T13" s="49"/>
    </row>
    <row r="14" spans="1:20" ht="26.4" x14ac:dyDescent="0.25">
      <c r="B14" s="4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30</v>
      </c>
      <c r="Q14" s="6">
        <v>35</v>
      </c>
      <c r="R14" s="6">
        <v>35</v>
      </c>
      <c r="T14" s="49"/>
    </row>
    <row r="15" spans="1:20" ht="14.25" customHeight="1" x14ac:dyDescent="0.25">
      <c r="B15" s="8"/>
      <c r="C15" s="8"/>
      <c r="D15" s="1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/>
      <c r="R15" s="48"/>
    </row>
    <row r="17" spans="1:20" ht="15.6" x14ac:dyDescent="0.3">
      <c r="A17" s="46">
        <v>2</v>
      </c>
      <c r="B17" s="57" t="s">
        <v>14</v>
      </c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spans="1:20" x14ac:dyDescent="0.25">
      <c r="B18" s="4" t="s">
        <v>1</v>
      </c>
      <c r="C18" s="18">
        <v>2021</v>
      </c>
      <c r="D18" s="18">
        <v>2022</v>
      </c>
      <c r="E18" s="18" t="s">
        <v>2</v>
      </c>
      <c r="F18" s="18">
        <v>2024</v>
      </c>
      <c r="G18" s="18">
        <v>2025</v>
      </c>
      <c r="H18" s="18">
        <v>2026</v>
      </c>
      <c r="I18" s="18">
        <v>2027</v>
      </c>
      <c r="J18" s="18">
        <v>2028</v>
      </c>
      <c r="K18" s="18">
        <v>2029</v>
      </c>
      <c r="L18" s="18">
        <v>2030</v>
      </c>
      <c r="M18" s="18">
        <v>2031</v>
      </c>
      <c r="N18" s="18">
        <v>2032</v>
      </c>
      <c r="O18" s="19">
        <v>2033</v>
      </c>
      <c r="P18" s="19">
        <v>2034</v>
      </c>
      <c r="Q18" s="19">
        <v>2035</v>
      </c>
      <c r="R18" s="19">
        <v>2036</v>
      </c>
    </row>
    <row r="19" spans="1:20" x14ac:dyDescent="0.25">
      <c r="B19" s="4" t="s">
        <v>3</v>
      </c>
      <c r="C19" s="4">
        <v>2518</v>
      </c>
      <c r="D19" s="4">
        <v>2703</v>
      </c>
      <c r="E19" s="33">
        <v>2864</v>
      </c>
      <c r="F19" s="33">
        <v>3216.2560000000003</v>
      </c>
      <c r="G19" s="33">
        <v>3311.2000000000003</v>
      </c>
      <c r="H19" s="33">
        <v>3396.8740000000003</v>
      </c>
      <c r="I19" s="33">
        <v>3447.6940000000004</v>
      </c>
      <c r="J19" s="33">
        <v>3490.4260000000004</v>
      </c>
      <c r="K19" s="33">
        <v>3517.6540000000005</v>
      </c>
      <c r="L19" s="33">
        <v>3544.8820000000005</v>
      </c>
      <c r="M19" s="33">
        <v>3562.8400000000006</v>
      </c>
      <c r="N19" s="33">
        <v>3571.5280000000007</v>
      </c>
      <c r="O19" s="33">
        <v>3572.2000000000007</v>
      </c>
      <c r="P19" s="33">
        <v>3572.2000000000007</v>
      </c>
      <c r="Q19" s="33">
        <v>3572.2000000000007</v>
      </c>
      <c r="R19" s="33">
        <v>3572.2000000000007</v>
      </c>
    </row>
    <row r="20" spans="1:20" ht="26.4" x14ac:dyDescent="0.25">
      <c r="B20" s="4" t="s">
        <v>4</v>
      </c>
      <c r="C20" s="6">
        <f>C19*C21/100</f>
        <v>2442.46</v>
      </c>
      <c r="D20" s="6">
        <f t="shared" ref="D20:E20" si="6">D19*D21/100</f>
        <v>2621.91</v>
      </c>
      <c r="E20" s="6">
        <f t="shared" si="6"/>
        <v>2835.36</v>
      </c>
      <c r="F20" s="6">
        <f t="shared" ref="F20" si="7">F19*F21/100</f>
        <v>3190.5259520000004</v>
      </c>
      <c r="G20" s="6">
        <f t="shared" ref="G20" si="8">G19*G21/100</f>
        <v>3284.7104000000004</v>
      </c>
      <c r="H20" s="6">
        <f t="shared" ref="H20" si="9">H19*H21/100</f>
        <v>3373.0958820000001</v>
      </c>
      <c r="I20" s="6">
        <f t="shared" ref="I20" si="10">I19*I21/100</f>
        <v>3423.5601420000003</v>
      </c>
      <c r="J20" s="6">
        <f t="shared" ref="J20" si="11">J19*J21/100</f>
        <v>3465.9930180000001</v>
      </c>
      <c r="K20" s="6">
        <f t="shared" ref="K20" si="12">K19*K21/100</f>
        <v>3493.0304220000003</v>
      </c>
      <c r="L20" s="6">
        <f t="shared" ref="L20" si="13">L19*L21/100</f>
        <v>3520.0678260000004</v>
      </c>
      <c r="M20" s="6">
        <f t="shared" ref="M20" si="14">M19*M21/100</f>
        <v>3537.9001200000002</v>
      </c>
      <c r="N20" s="6">
        <f t="shared" ref="N20" si="15">N19*N21/100</f>
        <v>3546.5273040000006</v>
      </c>
      <c r="O20" s="6">
        <f t="shared" ref="O20" si="16">O19*O21/100</f>
        <v>3547.1946000000007</v>
      </c>
      <c r="P20" s="6">
        <f t="shared" ref="P20" si="17">P19*P21/100</f>
        <v>3547.1946000000007</v>
      </c>
      <c r="Q20" s="6">
        <f t="shared" ref="Q20" si="18">Q19*Q21/100</f>
        <v>3547.1946000000007</v>
      </c>
      <c r="R20" s="6">
        <f t="shared" ref="R20" si="19">R19*R21/100</f>
        <v>3547.1946000000007</v>
      </c>
    </row>
    <row r="21" spans="1:20" x14ac:dyDescent="0.25">
      <c r="B21" s="4" t="s">
        <v>5</v>
      </c>
      <c r="C21" s="4">
        <v>97</v>
      </c>
      <c r="D21" s="5">
        <v>97</v>
      </c>
      <c r="E21" s="5">
        <v>99</v>
      </c>
      <c r="F21" s="5">
        <v>99.2</v>
      </c>
      <c r="G21" s="5">
        <v>99.2</v>
      </c>
      <c r="H21" s="6">
        <v>99.3</v>
      </c>
      <c r="I21" s="6">
        <v>99.3</v>
      </c>
      <c r="J21" s="6">
        <v>99.3</v>
      </c>
      <c r="K21" s="6">
        <v>99.3</v>
      </c>
      <c r="L21" s="6">
        <v>99.3</v>
      </c>
      <c r="M21" s="6">
        <v>99.3</v>
      </c>
      <c r="N21" s="6">
        <v>99.3</v>
      </c>
      <c r="O21" s="6">
        <v>99.3</v>
      </c>
      <c r="P21" s="6">
        <v>99.3</v>
      </c>
      <c r="Q21" s="6">
        <v>99.3</v>
      </c>
      <c r="R21" s="6">
        <v>99.3</v>
      </c>
    </row>
    <row r="22" spans="1:20" x14ac:dyDescent="0.25">
      <c r="B22" s="4" t="s">
        <v>6</v>
      </c>
      <c r="C22" s="6">
        <f>C26/C20*1000</f>
        <v>107.83872850401553</v>
      </c>
      <c r="D22" s="6">
        <f t="shared" ref="D22:E22" si="20">D26/D20*1000</f>
        <v>100.78086439442376</v>
      </c>
      <c r="E22" s="6">
        <f t="shared" si="20"/>
        <v>98.821091560065</v>
      </c>
      <c r="F22" s="6">
        <f>+E22+1.3</f>
        <v>100.121091560065</v>
      </c>
      <c r="G22" s="6">
        <f>+F22+1.95</f>
        <v>102.071091560065</v>
      </c>
      <c r="H22" s="6">
        <f t="shared" ref="H22" si="21">+G22+1.95</f>
        <v>104.021091560065</v>
      </c>
      <c r="I22" s="6">
        <v>102.71323238212197</v>
      </c>
      <c r="J22" s="6">
        <v>104.66323238212198</v>
      </c>
      <c r="K22" s="6">
        <v>106.61323238212198</v>
      </c>
      <c r="L22" s="6">
        <v>108.56323238212198</v>
      </c>
      <c r="M22" s="6">
        <v>110.51323238212198</v>
      </c>
      <c r="N22" s="6">
        <v>112.46323238212199</v>
      </c>
      <c r="O22" s="6">
        <v>114.41323238212199</v>
      </c>
      <c r="P22" s="6">
        <v>116.36323238212199</v>
      </c>
      <c r="Q22" s="6">
        <v>118.313232382122</v>
      </c>
      <c r="R22" s="6">
        <v>120.263232382122</v>
      </c>
    </row>
    <row r="23" spans="1:20" x14ac:dyDescent="0.25">
      <c r="B23" s="4" t="s">
        <v>7</v>
      </c>
      <c r="C23" s="10">
        <f>+C25+C27</f>
        <v>106347</v>
      </c>
      <c r="D23" s="10">
        <f>+D25+D27</f>
        <v>105720</v>
      </c>
      <c r="E23" s="10">
        <f t="shared" ref="E23" si="22">+E25+E27</f>
        <v>111780.74585635361</v>
      </c>
      <c r="F23" s="10">
        <f>F24*365</f>
        <v>126449.85664819914</v>
      </c>
      <c r="G23" s="10">
        <f t="shared" ref="G23:R23" si="23">G24*365</f>
        <v>133135.13878115901</v>
      </c>
      <c r="H23" s="10">
        <f t="shared" si="23"/>
        <v>141208.68718757608</v>
      </c>
      <c r="I23" s="10">
        <f t="shared" si="23"/>
        <v>159375.39888038702</v>
      </c>
      <c r="J23" s="10">
        <f t="shared" si="23"/>
        <v>165988.14192737738</v>
      </c>
      <c r="K23" s="10">
        <f t="shared" si="23"/>
        <v>172427.19139595528</v>
      </c>
      <c r="L23" s="10">
        <f t="shared" si="23"/>
        <v>178904.72860912717</v>
      </c>
      <c r="M23" s="10">
        <f t="shared" si="23"/>
        <v>183589.44400879851</v>
      </c>
      <c r="N23" s="10">
        <f t="shared" si="23"/>
        <v>189381.68238384183</v>
      </c>
      <c r="O23" s="10">
        <f t="shared" si="23"/>
        <v>193393.79002715906</v>
      </c>
      <c r="P23" s="10">
        <f t="shared" si="23"/>
        <v>225118.50578370906</v>
      </c>
      <c r="Q23" s="10">
        <f t="shared" si="23"/>
        <v>249543.22154025905</v>
      </c>
      <c r="R23" s="10">
        <f t="shared" si="23"/>
        <v>273967.9372968091</v>
      </c>
    </row>
    <row r="24" spans="1:20" x14ac:dyDescent="0.25">
      <c r="B24" s="4" t="s">
        <v>8</v>
      </c>
      <c r="C24" s="24">
        <f t="shared" ref="C24:D24" si="24">C26+C28</f>
        <v>291.36164383561641</v>
      </c>
      <c r="D24" s="24">
        <f t="shared" si="24"/>
        <v>289.57442173815406</v>
      </c>
      <c r="E24" s="6">
        <f>E23/365</f>
        <v>306.24861878453044</v>
      </c>
      <c r="F24" s="6">
        <f t="shared" ref="F24:R24" si="25">+F26+F28+F29</f>
        <v>346.4379634197237</v>
      </c>
      <c r="G24" s="6">
        <f t="shared" si="25"/>
        <v>364.7538048798877</v>
      </c>
      <c r="H24" s="6">
        <f t="shared" si="25"/>
        <v>386.87311558240026</v>
      </c>
      <c r="I24" s="6">
        <f t="shared" si="25"/>
        <v>436.6449284394165</v>
      </c>
      <c r="J24" s="6">
        <f t="shared" si="25"/>
        <v>454.76203267774628</v>
      </c>
      <c r="K24" s="6">
        <f t="shared" si="25"/>
        <v>472.40326409850763</v>
      </c>
      <c r="L24" s="6">
        <f t="shared" si="25"/>
        <v>490.14994139486896</v>
      </c>
      <c r="M24" s="6">
        <f t="shared" si="25"/>
        <v>502.98477810629731</v>
      </c>
      <c r="N24" s="6">
        <f t="shared" si="25"/>
        <v>518.85392433929269</v>
      </c>
      <c r="O24" s="6">
        <f t="shared" si="25"/>
        <v>529.84600007440838</v>
      </c>
      <c r="P24" s="6">
        <f t="shared" si="25"/>
        <v>616.76302954440837</v>
      </c>
      <c r="Q24" s="6">
        <f t="shared" si="25"/>
        <v>683.68005901440836</v>
      </c>
      <c r="R24" s="6">
        <f t="shared" si="25"/>
        <v>750.59708848440846</v>
      </c>
    </row>
    <row r="25" spans="1:20" x14ac:dyDescent="0.25">
      <c r="B25" s="4" t="s">
        <v>9</v>
      </c>
      <c r="C25" s="23">
        <v>96138</v>
      </c>
      <c r="D25" s="24">
        <v>96447</v>
      </c>
      <c r="E25" s="52">
        <f>50715/181*365</f>
        <v>102270.58011049725</v>
      </c>
      <c r="F25" s="6">
        <f>F26*366</f>
        <v>116914.65239317375</v>
      </c>
      <c r="G25" s="6">
        <f t="shared" ref="G25:Q25" si="26">G26*365</f>
        <v>122375.00123514469</v>
      </c>
      <c r="H25" s="6">
        <f t="shared" si="26"/>
        <v>128068.6871875761</v>
      </c>
      <c r="I25" s="6">
        <f t="shared" si="26"/>
        <v>128350.39888038703</v>
      </c>
      <c r="J25" s="6">
        <f>J26*366</f>
        <v>132770.90396005515</v>
      </c>
      <c r="K25" s="6">
        <f t="shared" si="26"/>
        <v>135927.19139595528</v>
      </c>
      <c r="L25" s="6">
        <f t="shared" si="26"/>
        <v>139484.72860912717</v>
      </c>
      <c r="M25" s="6">
        <f t="shared" si="26"/>
        <v>142709.44400879851</v>
      </c>
      <c r="N25" s="6">
        <f>N26*366</f>
        <v>145980.53630818112</v>
      </c>
      <c r="O25" s="6">
        <f t="shared" si="26"/>
        <v>148133.79002715906</v>
      </c>
      <c r="P25" s="6">
        <f t="shared" si="26"/>
        <v>150658.50578370906</v>
      </c>
      <c r="Q25" s="6">
        <f t="shared" si="26"/>
        <v>153183.22154025905</v>
      </c>
      <c r="R25" s="6">
        <f>R26*366</f>
        <v>156134.53438529349</v>
      </c>
    </row>
    <row r="26" spans="1:20" x14ac:dyDescent="0.25">
      <c r="B26" s="4" t="s">
        <v>10</v>
      </c>
      <c r="C26" s="24">
        <f>C25/365</f>
        <v>263.39178082191779</v>
      </c>
      <c r="D26" s="24">
        <f>D25/365</f>
        <v>264.23835616438356</v>
      </c>
      <c r="E26" s="6">
        <f>E25/365</f>
        <v>280.19337016574588</v>
      </c>
      <c r="F26" s="6">
        <f t="shared" ref="F26:R26" si="27">F20*F22/1000</f>
        <v>319.43894096495558</v>
      </c>
      <c r="G26" s="6">
        <f t="shared" si="27"/>
        <v>335.27397598669779</v>
      </c>
      <c r="H26" s="6">
        <f t="shared" si="27"/>
        <v>350.87311558240026</v>
      </c>
      <c r="I26" s="6">
        <f t="shared" si="27"/>
        <v>351.6449284394165</v>
      </c>
      <c r="J26" s="6">
        <f t="shared" si="27"/>
        <v>362.76203267774628</v>
      </c>
      <c r="K26" s="6">
        <f t="shared" si="27"/>
        <v>372.40326409850763</v>
      </c>
      <c r="L26" s="6">
        <f t="shared" si="27"/>
        <v>382.14994139486896</v>
      </c>
      <c r="M26" s="6">
        <f t="shared" si="27"/>
        <v>390.98477810629731</v>
      </c>
      <c r="N26" s="6">
        <f t="shared" si="27"/>
        <v>398.85392433929269</v>
      </c>
      <c r="O26" s="6">
        <f t="shared" si="27"/>
        <v>405.84600007440838</v>
      </c>
      <c r="P26" s="6">
        <f t="shared" si="27"/>
        <v>412.76302954440837</v>
      </c>
      <c r="Q26" s="6">
        <f t="shared" si="27"/>
        <v>419.68005901440836</v>
      </c>
      <c r="R26" s="6">
        <f t="shared" si="27"/>
        <v>426.5970884844084</v>
      </c>
    </row>
    <row r="27" spans="1:20" x14ac:dyDescent="0.25">
      <c r="B27" s="4" t="s">
        <v>11</v>
      </c>
      <c r="C27" s="24">
        <v>10209</v>
      </c>
      <c r="D27" s="25">
        <v>9273</v>
      </c>
      <c r="E27" s="6">
        <f>4716/181*365</f>
        <v>9510.165745856355</v>
      </c>
      <c r="F27" s="6">
        <f>F28*366</f>
        <v>9881.6422184451312</v>
      </c>
      <c r="G27" s="6">
        <f t="shared" ref="G27:Q27" si="28">G28*365</f>
        <v>10760.137546014324</v>
      </c>
      <c r="H27" s="6">
        <f t="shared" si="28"/>
        <v>13140</v>
      </c>
      <c r="I27" s="6">
        <f t="shared" si="28"/>
        <v>31025</v>
      </c>
      <c r="J27" s="6">
        <f>J28*366</f>
        <v>33672</v>
      </c>
      <c r="K27" s="6">
        <f t="shared" si="28"/>
        <v>36500</v>
      </c>
      <c r="L27" s="6">
        <f t="shared" si="28"/>
        <v>39420</v>
      </c>
      <c r="M27" s="6">
        <f t="shared" si="28"/>
        <v>40880</v>
      </c>
      <c r="N27" s="6">
        <f>N28*366</f>
        <v>43920</v>
      </c>
      <c r="O27" s="6">
        <f t="shared" si="28"/>
        <v>45260</v>
      </c>
      <c r="P27" s="6">
        <f t="shared" si="28"/>
        <v>52560</v>
      </c>
      <c r="Q27" s="6">
        <f t="shared" si="28"/>
        <v>74460</v>
      </c>
      <c r="R27" s="6">
        <f>R28*366</f>
        <v>96624</v>
      </c>
    </row>
    <row r="28" spans="1:20" x14ac:dyDescent="0.25">
      <c r="B28" s="4" t="s">
        <v>12</v>
      </c>
      <c r="C28" s="24">
        <f>C27/365</f>
        <v>27.969863013698632</v>
      </c>
      <c r="D28" s="24">
        <f>D27/366</f>
        <v>25.33606557377049</v>
      </c>
      <c r="E28" s="6">
        <f>E27/365</f>
        <v>26.055248618784535</v>
      </c>
      <c r="F28" s="6">
        <v>26.999022454768117</v>
      </c>
      <c r="G28" s="6">
        <v>29.479828893189929</v>
      </c>
      <c r="H28" s="6">
        <v>36</v>
      </c>
      <c r="I28" s="6">
        <v>85</v>
      </c>
      <c r="J28" s="6">
        <v>92</v>
      </c>
      <c r="K28" s="6">
        <v>100</v>
      </c>
      <c r="L28" s="6">
        <v>108</v>
      </c>
      <c r="M28" s="6">
        <v>112</v>
      </c>
      <c r="N28" s="6">
        <v>120</v>
      </c>
      <c r="O28" s="6">
        <v>124</v>
      </c>
      <c r="P28" s="6">
        <v>144</v>
      </c>
      <c r="Q28" s="6">
        <v>204</v>
      </c>
      <c r="R28" s="6">
        <v>264</v>
      </c>
      <c r="T28" s="34"/>
    </row>
    <row r="29" spans="1:20" ht="26.4" x14ac:dyDescent="0.25">
      <c r="B29" s="4" t="s">
        <v>13</v>
      </c>
      <c r="C29" s="6"/>
      <c r="D29" s="6"/>
      <c r="E29" s="51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v>60</v>
      </c>
      <c r="Q29" s="6">
        <v>60</v>
      </c>
      <c r="R29" s="6">
        <v>60</v>
      </c>
      <c r="T29" s="34"/>
    </row>
    <row r="30" spans="1:20" x14ac:dyDescent="0.25">
      <c r="B30" s="22"/>
      <c r="C30" s="21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20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20" ht="15.6" x14ac:dyDescent="0.3">
      <c r="A32" s="46">
        <v>3</v>
      </c>
      <c r="B32" s="53" t="s">
        <v>15</v>
      </c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26"/>
      <c r="R32" s="26"/>
    </row>
    <row r="33" spans="1:20" x14ac:dyDescent="0.25">
      <c r="B33" s="4" t="s">
        <v>1</v>
      </c>
      <c r="C33" s="18">
        <v>2021</v>
      </c>
      <c r="D33" s="18">
        <v>2022</v>
      </c>
      <c r="E33" s="18" t="s">
        <v>2</v>
      </c>
      <c r="F33" s="18">
        <v>2024</v>
      </c>
      <c r="G33" s="18">
        <v>2025</v>
      </c>
      <c r="H33" s="18">
        <v>2026</v>
      </c>
      <c r="I33" s="18">
        <v>2027</v>
      </c>
      <c r="J33" s="18">
        <v>2028</v>
      </c>
      <c r="K33" s="18">
        <v>2029</v>
      </c>
      <c r="L33" s="18">
        <v>2030</v>
      </c>
      <c r="M33" s="18">
        <v>2031</v>
      </c>
      <c r="N33" s="18">
        <v>2032</v>
      </c>
      <c r="O33" s="19">
        <v>2033</v>
      </c>
      <c r="P33" s="19">
        <v>2034</v>
      </c>
      <c r="Q33" s="19">
        <v>2035</v>
      </c>
      <c r="R33" s="19">
        <v>2036</v>
      </c>
    </row>
    <row r="34" spans="1:20" x14ac:dyDescent="0.25">
      <c r="B34" s="4" t="s">
        <v>3</v>
      </c>
      <c r="C34" s="4">
        <v>666</v>
      </c>
      <c r="D34" s="4">
        <v>706</v>
      </c>
      <c r="E34" s="6">
        <v>941.86</v>
      </c>
      <c r="F34" s="6">
        <v>1013.72</v>
      </c>
      <c r="G34" s="6">
        <v>1077.42</v>
      </c>
      <c r="H34" s="6">
        <v>1132.96</v>
      </c>
      <c r="I34" s="6">
        <v>1146.9160000000002</v>
      </c>
      <c r="J34" s="6">
        <v>1160.8720000000003</v>
      </c>
      <c r="K34" s="6">
        <v>1174.8280000000004</v>
      </c>
      <c r="L34" s="6">
        <v>1188.7840000000006</v>
      </c>
      <c r="M34" s="6">
        <v>1202.7400000000007</v>
      </c>
      <c r="N34" s="6">
        <v>1216.6960000000008</v>
      </c>
      <c r="O34" s="6">
        <v>1221.4000000000008</v>
      </c>
      <c r="P34" s="6">
        <v>1221.4000000000008</v>
      </c>
      <c r="Q34" s="6">
        <v>1221.4000000000008</v>
      </c>
      <c r="R34" s="6">
        <v>1221.4000000000008</v>
      </c>
    </row>
    <row r="35" spans="1:20" ht="26.4" x14ac:dyDescent="0.25">
      <c r="B35" s="4" t="s">
        <v>4</v>
      </c>
      <c r="C35" s="6">
        <f>C34*C36/100</f>
        <v>639.36</v>
      </c>
      <c r="D35" s="6">
        <f>D34*D36/100</f>
        <v>677.76</v>
      </c>
      <c r="E35" s="6">
        <f t="shared" ref="E35:R35" si="29">E34*E36/100</f>
        <v>904.18560000000002</v>
      </c>
      <c r="F35" s="6">
        <f t="shared" si="29"/>
        <v>973.1712</v>
      </c>
      <c r="G35" s="6">
        <f t="shared" si="29"/>
        <v>1031.09094</v>
      </c>
      <c r="H35" s="6">
        <f t="shared" si="29"/>
        <v>1086.5086400000002</v>
      </c>
      <c r="I35" s="6">
        <f t="shared" si="29"/>
        <v>1099.8924440000003</v>
      </c>
      <c r="J35" s="6">
        <f t="shared" si="29"/>
        <v>1114.4371200000003</v>
      </c>
      <c r="K35" s="6">
        <f t="shared" si="29"/>
        <v>1127.8348800000003</v>
      </c>
      <c r="L35" s="6">
        <f t="shared" si="29"/>
        <v>1142.4214240000003</v>
      </c>
      <c r="M35" s="6">
        <f t="shared" si="29"/>
        <v>1155.8331400000006</v>
      </c>
      <c r="N35" s="6">
        <f t="shared" si="29"/>
        <v>1170.4615520000009</v>
      </c>
      <c r="O35" s="6">
        <f t="shared" si="29"/>
        <v>1174.9868000000008</v>
      </c>
      <c r="P35" s="6">
        <f t="shared" si="29"/>
        <v>1174.9868000000008</v>
      </c>
      <c r="Q35" s="6">
        <f t="shared" si="29"/>
        <v>1174.9868000000008</v>
      </c>
      <c r="R35" s="6">
        <f t="shared" si="29"/>
        <v>1174.9868000000008</v>
      </c>
    </row>
    <row r="36" spans="1:20" x14ac:dyDescent="0.25">
      <c r="B36" s="4" t="s">
        <v>5</v>
      </c>
      <c r="C36" s="6">
        <v>96</v>
      </c>
      <c r="D36" s="6">
        <v>96</v>
      </c>
      <c r="E36" s="6">
        <v>96</v>
      </c>
      <c r="F36" s="6">
        <v>96</v>
      </c>
      <c r="G36" s="6">
        <v>95.7</v>
      </c>
      <c r="H36" s="6">
        <v>95.9</v>
      </c>
      <c r="I36" s="6">
        <v>95.9</v>
      </c>
      <c r="J36" s="6">
        <v>96</v>
      </c>
      <c r="K36" s="6">
        <v>96</v>
      </c>
      <c r="L36" s="6">
        <v>96.1</v>
      </c>
      <c r="M36" s="6">
        <v>96.1</v>
      </c>
      <c r="N36" s="6">
        <v>96.2</v>
      </c>
      <c r="O36" s="6">
        <v>96.2</v>
      </c>
      <c r="P36" s="6">
        <v>96.2</v>
      </c>
      <c r="Q36" s="6">
        <v>96.2</v>
      </c>
      <c r="R36" s="6">
        <v>96.2</v>
      </c>
    </row>
    <row r="37" spans="1:20" x14ac:dyDescent="0.25">
      <c r="B37" s="4" t="s">
        <v>6</v>
      </c>
      <c r="C37" s="6">
        <f>C41/C35*1000</f>
        <v>195.28518244271666</v>
      </c>
      <c r="D37" s="6">
        <f>D41/D35*1000</f>
        <v>188.72805826121825</v>
      </c>
      <c r="E37" s="6">
        <f>D37-4.2</f>
        <v>184.52805826121826</v>
      </c>
      <c r="F37" s="6">
        <f t="shared" ref="F37:Q37" si="30">E37-4.2</f>
        <v>180.32805826121827</v>
      </c>
      <c r="G37" s="6">
        <f t="shared" si="30"/>
        <v>176.12805826121829</v>
      </c>
      <c r="H37" s="6">
        <f t="shared" si="30"/>
        <v>171.9280582612183</v>
      </c>
      <c r="I37" s="6">
        <f t="shared" si="30"/>
        <v>167.72805826121831</v>
      </c>
      <c r="J37" s="6">
        <f t="shared" si="30"/>
        <v>163.52805826121832</v>
      </c>
      <c r="K37" s="6">
        <f t="shared" si="30"/>
        <v>159.32805826121833</v>
      </c>
      <c r="L37" s="6">
        <f t="shared" si="30"/>
        <v>155.12805826121834</v>
      </c>
      <c r="M37" s="6">
        <f t="shared" si="30"/>
        <v>150.92805826121835</v>
      </c>
      <c r="N37" s="6">
        <f t="shared" si="30"/>
        <v>146.72805826121837</v>
      </c>
      <c r="O37" s="6">
        <f t="shared" si="30"/>
        <v>142.52805826121838</v>
      </c>
      <c r="P37" s="6">
        <f t="shared" si="30"/>
        <v>138.32805826121839</v>
      </c>
      <c r="Q37" s="6">
        <f t="shared" si="30"/>
        <v>134.1280582612184</v>
      </c>
      <c r="R37" s="6">
        <v>130</v>
      </c>
    </row>
    <row r="38" spans="1:20" x14ac:dyDescent="0.25">
      <c r="B38" s="4" t="s">
        <v>7</v>
      </c>
      <c r="C38" s="10">
        <f>+C40+C42</f>
        <v>50730</v>
      </c>
      <c r="D38" s="10">
        <f>+D40+D42</f>
        <v>51933.020000000004</v>
      </c>
      <c r="E38" s="10">
        <f t="shared" ref="E38" si="31">+E40+E42</f>
        <v>58367.734806629844</v>
      </c>
      <c r="F38" s="10">
        <f t="shared" ref="F38:R38" si="32">+F40+F42</f>
        <v>70334.975731396611</v>
      </c>
      <c r="G38" s="10">
        <f t="shared" si="32"/>
        <v>75410.476480821031</v>
      </c>
      <c r="H38" s="10">
        <f t="shared" si="32"/>
        <v>80227.482077121545</v>
      </c>
      <c r="I38" s="10">
        <f t="shared" si="32"/>
        <v>79381.230733831646</v>
      </c>
      <c r="J38" s="10">
        <f t="shared" si="32"/>
        <v>78778.476213343733</v>
      </c>
      <c r="K38" s="10">
        <f t="shared" si="32"/>
        <v>77633.945636431105</v>
      </c>
      <c r="L38" s="10">
        <f t="shared" si="32"/>
        <v>77460.890285714675</v>
      </c>
      <c r="M38" s="10">
        <f t="shared" si="32"/>
        <v>77213.447990850953</v>
      </c>
      <c r="N38" s="10">
        <f t="shared" si="32"/>
        <v>77496.675590740226</v>
      </c>
      <c r="O38" s="10">
        <f t="shared" si="32"/>
        <v>76403.543628822226</v>
      </c>
      <c r="P38" s="10">
        <f t="shared" si="32"/>
        <v>75246.411860363907</v>
      </c>
      <c r="Q38" s="10">
        <f t="shared" si="32"/>
        <v>74099.471756630111</v>
      </c>
      <c r="R38" s="10">
        <f t="shared" si="32"/>
        <v>73839.871944000042</v>
      </c>
    </row>
    <row r="39" spans="1:20" x14ac:dyDescent="0.25">
      <c r="B39" s="4" t="s">
        <v>8</v>
      </c>
      <c r="C39" s="6">
        <f t="shared" ref="C39" si="33">C41+C43</f>
        <v>138.98630136986301</v>
      </c>
      <c r="D39" s="6">
        <f t="shared" ref="D39" si="34">D41+D43</f>
        <v>142.28224657534247</v>
      </c>
      <c r="E39" s="6">
        <f>E38/365</f>
        <v>159.91160220994479</v>
      </c>
      <c r="F39" s="24">
        <f>+F41+F43</f>
        <v>192.17206483988144</v>
      </c>
      <c r="G39" s="24">
        <f t="shared" ref="G39" si="35">+G41+G43</f>
        <v>206.60404515293433</v>
      </c>
      <c r="H39" s="6">
        <f t="shared" ref="H39:R39" si="36">+H41+H43+H44</f>
        <v>219.80132075923711</v>
      </c>
      <c r="I39" s="6">
        <f t="shared" si="36"/>
        <v>217.48282392830586</v>
      </c>
      <c r="J39" s="6">
        <f t="shared" si="36"/>
        <v>215.2417382878244</v>
      </c>
      <c r="K39" s="6">
        <f t="shared" si="36"/>
        <v>212.69574146967426</v>
      </c>
      <c r="L39" s="6">
        <f t="shared" si="36"/>
        <v>212.22161722113609</v>
      </c>
      <c r="M39" s="6">
        <f t="shared" si="36"/>
        <v>211.54369312561909</v>
      </c>
      <c r="N39" s="6">
        <f t="shared" si="36"/>
        <v>211.73955079437218</v>
      </c>
      <c r="O39" s="6">
        <f t="shared" si="36"/>
        <v>209.3247770652664</v>
      </c>
      <c r="P39" s="6">
        <f t="shared" si="36"/>
        <v>206.15455304209291</v>
      </c>
      <c r="Q39" s="6">
        <f t="shared" si="36"/>
        <v>203.01225138802769</v>
      </c>
      <c r="R39" s="6">
        <f t="shared" si="36"/>
        <v>201.7482840000001</v>
      </c>
    </row>
    <row r="40" spans="1:20" x14ac:dyDescent="0.25">
      <c r="B40" s="4" t="s">
        <v>9</v>
      </c>
      <c r="C40" s="6">
        <v>45573</v>
      </c>
      <c r="D40" s="6">
        <v>46688</v>
      </c>
      <c r="E40" s="6">
        <f>26202/181*365</f>
        <v>52838.287292817688</v>
      </c>
      <c r="F40" s="6">
        <f>F41*366</f>
        <v>64229.366663736735</v>
      </c>
      <c r="G40" s="6">
        <f t="shared" ref="G40:Q40" si="37">G41*365</f>
        <v>66285.476480821031</v>
      </c>
      <c r="H40" s="6">
        <f t="shared" si="37"/>
        <v>68182.482077121545</v>
      </c>
      <c r="I40" s="6">
        <f t="shared" si="37"/>
        <v>67336.230733831646</v>
      </c>
      <c r="J40" s="6">
        <f>J41*366</f>
        <v>66700.476213343733</v>
      </c>
      <c r="K40" s="6">
        <f t="shared" si="37"/>
        <v>65588.945636431105</v>
      </c>
      <c r="L40" s="6">
        <f t="shared" si="37"/>
        <v>64685.890285714668</v>
      </c>
      <c r="M40" s="6">
        <f t="shared" si="37"/>
        <v>63673.392795370972</v>
      </c>
      <c r="N40" s="6">
        <f>N41*366</f>
        <v>62856.675590740218</v>
      </c>
      <c r="O40" s="6">
        <f t="shared" si="37"/>
        <v>61126.034286595364</v>
      </c>
      <c r="P40" s="6">
        <f t="shared" si="37"/>
        <v>59324.779522195378</v>
      </c>
      <c r="Q40" s="6">
        <f t="shared" si="37"/>
        <v>57523.524757795371</v>
      </c>
      <c r="R40" s="6">
        <f>R41*366</f>
        <v>55905.871944000035</v>
      </c>
    </row>
    <row r="41" spans="1:20" x14ac:dyDescent="0.25">
      <c r="B41" s="4" t="s">
        <v>10</v>
      </c>
      <c r="C41" s="6">
        <f>C40/365</f>
        <v>124.85753424657534</v>
      </c>
      <c r="D41" s="6">
        <f>D40/365</f>
        <v>127.91232876712328</v>
      </c>
      <c r="E41" s="6">
        <f>E40/365</f>
        <v>144.76243093922653</v>
      </c>
      <c r="F41" s="6">
        <f t="shared" ref="F41:R41" si="38">F35*F37/1000</f>
        <v>175.49007285173971</v>
      </c>
      <c r="G41" s="6">
        <f t="shared" si="38"/>
        <v>181.60404515293433</v>
      </c>
      <c r="H41" s="6">
        <f t="shared" si="38"/>
        <v>186.80132075923711</v>
      </c>
      <c r="I41" s="6">
        <f t="shared" si="38"/>
        <v>184.48282392830586</v>
      </c>
      <c r="J41" s="6">
        <f t="shared" si="38"/>
        <v>182.2417382878244</v>
      </c>
      <c r="K41" s="6">
        <f t="shared" si="38"/>
        <v>179.69574146967426</v>
      </c>
      <c r="L41" s="6">
        <f t="shared" si="38"/>
        <v>177.22161722113609</v>
      </c>
      <c r="M41" s="6">
        <f t="shared" si="38"/>
        <v>174.44765149416705</v>
      </c>
      <c r="N41" s="6">
        <f t="shared" si="38"/>
        <v>171.73955079437218</v>
      </c>
      <c r="O41" s="6">
        <f t="shared" si="38"/>
        <v>167.46858708656265</v>
      </c>
      <c r="P41" s="6">
        <f t="shared" si="38"/>
        <v>162.53364252656269</v>
      </c>
      <c r="Q41" s="6">
        <f t="shared" si="38"/>
        <v>157.59869796656267</v>
      </c>
      <c r="R41" s="6">
        <f t="shared" si="38"/>
        <v>152.7482840000001</v>
      </c>
    </row>
    <row r="42" spans="1:20" x14ac:dyDescent="0.25">
      <c r="B42" s="4" t="s">
        <v>11</v>
      </c>
      <c r="C42" s="6">
        <v>5157</v>
      </c>
      <c r="D42" s="17">
        <v>5245.02</v>
      </c>
      <c r="E42" s="6">
        <f>2742/181*365</f>
        <v>5529.4475138121552</v>
      </c>
      <c r="F42" s="6">
        <f>F43*366</f>
        <v>6105.6090676598687</v>
      </c>
      <c r="G42" s="6">
        <f t="shared" ref="G42:Q42" si="39">G43*365</f>
        <v>9125</v>
      </c>
      <c r="H42" s="6">
        <f t="shared" si="39"/>
        <v>12045</v>
      </c>
      <c r="I42" s="6">
        <f t="shared" si="39"/>
        <v>12045</v>
      </c>
      <c r="J42" s="6">
        <f>J43*366</f>
        <v>12078</v>
      </c>
      <c r="K42" s="6">
        <f t="shared" si="39"/>
        <v>12045</v>
      </c>
      <c r="L42" s="6">
        <f t="shared" si="39"/>
        <v>12775</v>
      </c>
      <c r="M42" s="6">
        <f t="shared" si="39"/>
        <v>13540.055195479988</v>
      </c>
      <c r="N42" s="6">
        <f>N43*366</f>
        <v>14640</v>
      </c>
      <c r="O42" s="6">
        <f t="shared" si="39"/>
        <v>15277.509342226867</v>
      </c>
      <c r="P42" s="6">
        <f t="shared" si="39"/>
        <v>15921.632338168527</v>
      </c>
      <c r="Q42" s="6">
        <f t="shared" si="39"/>
        <v>16575.946998834737</v>
      </c>
      <c r="R42" s="6">
        <f>R43*366</f>
        <v>17934</v>
      </c>
    </row>
    <row r="43" spans="1:20" x14ac:dyDescent="0.25">
      <c r="B43" s="4" t="s">
        <v>12</v>
      </c>
      <c r="C43" s="6">
        <f t="shared" ref="C43:D43" si="40">C42/365</f>
        <v>14.128767123287671</v>
      </c>
      <c r="D43" s="6">
        <f t="shared" si="40"/>
        <v>14.36991780821918</v>
      </c>
      <c r="E43" s="6">
        <f>E42/365</f>
        <v>15.149171270718233</v>
      </c>
      <c r="F43" s="6">
        <v>16.681991988141718</v>
      </c>
      <c r="G43" s="6">
        <v>25</v>
      </c>
      <c r="H43" s="6">
        <v>33</v>
      </c>
      <c r="I43" s="6">
        <v>33</v>
      </c>
      <c r="J43" s="6">
        <v>33</v>
      </c>
      <c r="K43" s="6">
        <v>33</v>
      </c>
      <c r="L43" s="6">
        <v>35</v>
      </c>
      <c r="M43" s="6">
        <v>37.096041631452024</v>
      </c>
      <c r="N43" s="6">
        <v>40</v>
      </c>
      <c r="O43" s="6">
        <v>41.856189978703746</v>
      </c>
      <c r="P43" s="6">
        <v>43.620910515530213</v>
      </c>
      <c r="Q43" s="6">
        <v>45.413553421465032</v>
      </c>
      <c r="R43" s="6">
        <v>49</v>
      </c>
      <c r="T43" s="34"/>
    </row>
    <row r="44" spans="1:20" x14ac:dyDescent="0.2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6" spans="1:20" ht="13.5" customHeight="1" x14ac:dyDescent="0.3">
      <c r="A46" s="46">
        <v>4</v>
      </c>
      <c r="B46" s="53" t="s">
        <v>16</v>
      </c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26"/>
      <c r="R46" s="26"/>
    </row>
    <row r="47" spans="1:20" x14ac:dyDescent="0.25">
      <c r="B47" s="4" t="s">
        <v>1</v>
      </c>
      <c r="C47" s="18">
        <v>2021</v>
      </c>
      <c r="D47" s="18">
        <v>2022</v>
      </c>
      <c r="E47" s="18" t="s">
        <v>2</v>
      </c>
      <c r="F47" s="18">
        <v>2024</v>
      </c>
      <c r="G47" s="18">
        <v>2025</v>
      </c>
      <c r="H47" s="18">
        <v>2026</v>
      </c>
      <c r="I47" s="18">
        <v>2027</v>
      </c>
      <c r="J47" s="18">
        <v>2028</v>
      </c>
      <c r="K47" s="18">
        <v>2029</v>
      </c>
      <c r="L47" s="18">
        <v>2030</v>
      </c>
      <c r="M47" s="18">
        <v>2031</v>
      </c>
      <c r="N47" s="18">
        <v>2032</v>
      </c>
      <c r="O47" s="19">
        <v>2033</v>
      </c>
      <c r="P47" s="19">
        <v>2034</v>
      </c>
      <c r="Q47" s="19">
        <v>2035</v>
      </c>
      <c r="R47" s="19">
        <v>2036</v>
      </c>
    </row>
    <row r="48" spans="1:20" x14ac:dyDescent="0.25">
      <c r="B48" s="4" t="s">
        <v>3</v>
      </c>
      <c r="C48" s="4">
        <v>619</v>
      </c>
      <c r="D48" s="4">
        <v>587</v>
      </c>
      <c r="E48" s="6">
        <v>698.88</v>
      </c>
      <c r="F48" s="6">
        <v>768.62</v>
      </c>
      <c r="G48" s="6">
        <v>833.32</v>
      </c>
      <c r="H48" s="6">
        <v>901.0200000000001</v>
      </c>
      <c r="I48" s="6">
        <v>968.72000000000014</v>
      </c>
      <c r="J48" s="6">
        <v>1017.58</v>
      </c>
      <c r="K48" s="6">
        <v>1060.4399999999998</v>
      </c>
      <c r="L48" s="6">
        <v>1097.2999999999997</v>
      </c>
      <c r="M48" s="6">
        <v>1125.1599999999996</v>
      </c>
      <c r="N48" s="6">
        <v>1153.0199999999995</v>
      </c>
      <c r="O48" s="6">
        <v>1157.9999999999995</v>
      </c>
      <c r="P48" s="6">
        <v>1160.9999999999995</v>
      </c>
      <c r="Q48" s="6">
        <v>1163.9999999999995</v>
      </c>
      <c r="R48" s="6">
        <v>1166.9999999999995</v>
      </c>
    </row>
    <row r="49" spans="1:20" ht="26.4" x14ac:dyDescent="0.25">
      <c r="B49" s="4" t="s">
        <v>4</v>
      </c>
      <c r="C49" s="6">
        <f>C48*C50/100</f>
        <v>581.86</v>
      </c>
      <c r="D49" s="6">
        <f t="shared" ref="D49:R49" si="41">D48*D50/100</f>
        <v>545.91</v>
      </c>
      <c r="E49" s="6">
        <v>550</v>
      </c>
      <c r="F49" s="6">
        <f t="shared" si="41"/>
        <v>731.72623999999996</v>
      </c>
      <c r="G49" s="6">
        <f t="shared" si="41"/>
        <v>795.82060000000001</v>
      </c>
      <c r="H49" s="6">
        <f t="shared" si="41"/>
        <v>864.07818000000009</v>
      </c>
      <c r="I49" s="6">
        <f t="shared" si="41"/>
        <v>931.9086400000001</v>
      </c>
      <c r="J49" s="6">
        <f t="shared" si="41"/>
        <v>980.94712000000015</v>
      </c>
      <c r="K49" s="6">
        <f t="shared" si="41"/>
        <v>1023.3245999999998</v>
      </c>
      <c r="L49" s="6">
        <f t="shared" si="41"/>
        <v>1059.9917999999996</v>
      </c>
      <c r="M49" s="6">
        <f t="shared" si="41"/>
        <v>1088.0297199999995</v>
      </c>
      <c r="N49" s="6">
        <f t="shared" si="41"/>
        <v>1116.1233599999996</v>
      </c>
      <c r="O49" s="6">
        <f t="shared" si="41"/>
        <v>1120.9439999999995</v>
      </c>
      <c r="P49" s="6">
        <f t="shared" si="41"/>
        <v>1123.8479999999995</v>
      </c>
      <c r="Q49" s="6">
        <f t="shared" si="41"/>
        <v>1126.7519999999995</v>
      </c>
      <c r="R49" s="6">
        <f t="shared" si="41"/>
        <v>1129.6559999999995</v>
      </c>
    </row>
    <row r="50" spans="1:20" x14ac:dyDescent="0.25">
      <c r="B50" s="4" t="s">
        <v>5</v>
      </c>
      <c r="C50" s="6">
        <v>94</v>
      </c>
      <c r="D50" s="6">
        <v>93</v>
      </c>
      <c r="E50" s="6">
        <v>94.7</v>
      </c>
      <c r="F50" s="6">
        <v>95.2</v>
      </c>
      <c r="G50" s="6">
        <v>95.5</v>
      </c>
      <c r="H50" s="6">
        <v>95.9</v>
      </c>
      <c r="I50" s="6">
        <v>96.2</v>
      </c>
      <c r="J50" s="6">
        <v>96.4</v>
      </c>
      <c r="K50" s="6">
        <v>96.5</v>
      </c>
      <c r="L50" s="6">
        <v>96.6</v>
      </c>
      <c r="M50" s="6">
        <v>96.7</v>
      </c>
      <c r="N50" s="6">
        <v>96.8</v>
      </c>
      <c r="O50" s="6">
        <v>96.8</v>
      </c>
      <c r="P50" s="6">
        <v>96.8</v>
      </c>
      <c r="Q50" s="6">
        <v>96.8</v>
      </c>
      <c r="R50" s="6">
        <v>96.8</v>
      </c>
    </row>
    <row r="51" spans="1:20" x14ac:dyDescent="0.25">
      <c r="B51" s="4" t="s">
        <v>6</v>
      </c>
      <c r="C51" s="6">
        <f>C55/C49*1000</f>
        <v>95.739266000530193</v>
      </c>
      <c r="D51" s="6">
        <f>D55/D49*1000</f>
        <v>101.61241390835912</v>
      </c>
      <c r="E51" s="6">
        <f>E55/E49*1000</f>
        <v>103.78704168759417</v>
      </c>
      <c r="F51" s="6">
        <f>+E51+1.25</f>
        <v>105.03704168759417</v>
      </c>
      <c r="G51" s="6">
        <f t="shared" ref="G51:R51" si="42">+F51+1.25</f>
        <v>106.28704168759417</v>
      </c>
      <c r="H51" s="6">
        <f t="shared" si="42"/>
        <v>107.53704168759417</v>
      </c>
      <c r="I51" s="6">
        <f t="shared" si="42"/>
        <v>108.78704168759417</v>
      </c>
      <c r="J51" s="6">
        <f t="shared" si="42"/>
        <v>110.03704168759417</v>
      </c>
      <c r="K51" s="6">
        <f t="shared" si="42"/>
        <v>111.28704168759417</v>
      </c>
      <c r="L51" s="6">
        <f t="shared" si="42"/>
        <v>112.53704168759417</v>
      </c>
      <c r="M51" s="6">
        <f t="shared" si="42"/>
        <v>113.78704168759417</v>
      </c>
      <c r="N51" s="6">
        <f t="shared" si="42"/>
        <v>115.03704168759417</v>
      </c>
      <c r="O51" s="6">
        <f t="shared" si="42"/>
        <v>116.28704168759417</v>
      </c>
      <c r="P51" s="6">
        <f t="shared" si="42"/>
        <v>117.53704168759417</v>
      </c>
      <c r="Q51" s="6">
        <f t="shared" si="42"/>
        <v>118.78704168759417</v>
      </c>
      <c r="R51" s="6">
        <f t="shared" si="42"/>
        <v>120.03704168759417</v>
      </c>
    </row>
    <row r="52" spans="1:20" x14ac:dyDescent="0.25">
      <c r="B52" s="4" t="s">
        <v>7</v>
      </c>
      <c r="C52" s="10">
        <f>+C54+C56</f>
        <v>20524.919999999998</v>
      </c>
      <c r="D52" s="10">
        <f>+D54+D56</f>
        <v>20471.5</v>
      </c>
      <c r="E52" s="10">
        <f t="shared" ref="E52" si="43">+E54+E56</f>
        <v>21093.370165745859</v>
      </c>
      <c r="F52" s="10">
        <f t="shared" ref="F52:R52" si="44">+F54+F56</f>
        <v>28408.50559486137</v>
      </c>
      <c r="G52" s="10">
        <f t="shared" si="44"/>
        <v>31242.512792455625</v>
      </c>
      <c r="H52" s="10">
        <f t="shared" si="44"/>
        <v>34394.285593678949</v>
      </c>
      <c r="I52" s="10">
        <f t="shared" si="44"/>
        <v>37554.883667397618</v>
      </c>
      <c r="J52" s="10">
        <f t="shared" si="44"/>
        <v>40205.475994545661</v>
      </c>
      <c r="K52" s="10">
        <f t="shared" si="44"/>
        <v>42410.545590670081</v>
      </c>
      <c r="L52" s="10">
        <f t="shared" si="44"/>
        <v>44529.580087883158</v>
      </c>
      <c r="M52" s="10">
        <f t="shared" si="44"/>
        <v>46341.929816366959</v>
      </c>
      <c r="N52" s="10">
        <f t="shared" si="44"/>
        <v>48314.209784860745</v>
      </c>
      <c r="O52" s="10">
        <f t="shared" si="44"/>
        <v>49078.545987291116</v>
      </c>
      <c r="P52" s="10">
        <f t="shared" si="44"/>
        <v>49897.061249998296</v>
      </c>
      <c r="Q52" s="10">
        <f t="shared" si="44"/>
        <v>50718.226412705473</v>
      </c>
      <c r="R52" s="10">
        <f t="shared" si="44"/>
        <v>51683.252547948039</v>
      </c>
    </row>
    <row r="53" spans="1:20" x14ac:dyDescent="0.25">
      <c r="B53" s="4" t="s">
        <v>8</v>
      </c>
      <c r="C53" s="24">
        <f t="shared" ref="C53:G53" si="45">C55+C57</f>
        <v>56.232657534246577</v>
      </c>
      <c r="D53" s="24">
        <f t="shared" si="45"/>
        <v>56.084620854854407</v>
      </c>
      <c r="E53" s="6">
        <f>E52/365</f>
        <v>57.790055248618792</v>
      </c>
      <c r="F53" s="24">
        <f>+F55+F57</f>
        <v>77.618867745522877</v>
      </c>
      <c r="G53" s="24">
        <f t="shared" si="45"/>
        <v>85.595925458782546</v>
      </c>
      <c r="H53" s="6">
        <f t="shared" ref="H53:R53" si="46">+H55+H57+H58</f>
        <v>94.230919434736848</v>
      </c>
      <c r="I53" s="6">
        <f t="shared" si="46"/>
        <v>102.89009223944554</v>
      </c>
      <c r="J53" s="6">
        <f t="shared" si="46"/>
        <v>109.85102730750179</v>
      </c>
      <c r="K53" s="6">
        <f t="shared" si="46"/>
        <v>116.19327559087695</v>
      </c>
      <c r="L53" s="6">
        <f t="shared" si="46"/>
        <v>121.99884955584426</v>
      </c>
      <c r="M53" s="6">
        <f t="shared" si="46"/>
        <v>126.9641912777177</v>
      </c>
      <c r="N53" s="6">
        <f t="shared" si="46"/>
        <v>132.00603766355394</v>
      </c>
      <c r="O53" s="6">
        <f t="shared" si="46"/>
        <v>134.46176982819486</v>
      </c>
      <c r="P53" s="6">
        <f t="shared" si="46"/>
        <v>136.70427739725562</v>
      </c>
      <c r="Q53" s="6">
        <f t="shared" si="46"/>
        <v>138.95404496631636</v>
      </c>
      <c r="R53" s="6">
        <f t="shared" si="46"/>
        <v>141.21107253537718</v>
      </c>
    </row>
    <row r="54" spans="1:20" x14ac:dyDescent="0.25">
      <c r="B54" s="4" t="s">
        <v>9</v>
      </c>
      <c r="C54" s="24">
        <v>20333</v>
      </c>
      <c r="D54" s="24">
        <v>20247</v>
      </c>
      <c r="E54" s="6">
        <f>10332/181*365</f>
        <v>20835.248618784532</v>
      </c>
      <c r="F54" s="6">
        <f>F55*366</f>
        <v>28130.159604371871</v>
      </c>
      <c r="G54" s="6">
        <f t="shared" ref="G54:Q54" si="47">G55*365</f>
        <v>30873.677310136864</v>
      </c>
      <c r="H54" s="6">
        <f t="shared" si="47"/>
        <v>33915.950111360187</v>
      </c>
      <c r="I54" s="6">
        <f t="shared" si="47"/>
        <v>37003.548185078856</v>
      </c>
      <c r="J54" s="6">
        <f>J55*366</f>
        <v>39506.23000405616</v>
      </c>
      <c r="K54" s="6">
        <f t="shared" si="47"/>
        <v>41567.210108351319</v>
      </c>
      <c r="L54" s="6">
        <f t="shared" si="47"/>
        <v>43540.244605564396</v>
      </c>
      <c r="M54" s="6">
        <f t="shared" si="47"/>
        <v>45188.344334048197</v>
      </c>
      <c r="N54" s="6">
        <f>N55*366</f>
        <v>46992.763794371247</v>
      </c>
      <c r="O54" s="6">
        <f t="shared" si="47"/>
        <v>47578.210504972354</v>
      </c>
      <c r="P54" s="6">
        <f t="shared" si="47"/>
        <v>48214.225767679534</v>
      </c>
      <c r="Q54" s="6">
        <f t="shared" si="47"/>
        <v>48852.890930386711</v>
      </c>
      <c r="R54" s="6">
        <f>R55*366</f>
        <v>49629.806557458542</v>
      </c>
    </row>
    <row r="55" spans="1:20" x14ac:dyDescent="0.25">
      <c r="B55" s="4" t="s">
        <v>10</v>
      </c>
      <c r="C55" s="28">
        <f>C54/365</f>
        <v>55.706849315068496</v>
      </c>
      <c r="D55" s="28">
        <f>D54/365</f>
        <v>55.471232876712328</v>
      </c>
      <c r="E55" s="6">
        <f>E54/365</f>
        <v>57.082872928176798</v>
      </c>
      <c r="F55" s="6">
        <f t="shared" ref="F55:R55" si="48">F49*F51/1000</f>
        <v>76.858359574786533</v>
      </c>
      <c r="G55" s="6">
        <f t="shared" si="48"/>
        <v>84.585417288046202</v>
      </c>
      <c r="H55" s="6">
        <f t="shared" si="48"/>
        <v>92.920411264000506</v>
      </c>
      <c r="I55" s="6">
        <f t="shared" si="48"/>
        <v>101.37958406870919</v>
      </c>
      <c r="J55" s="6">
        <f t="shared" si="48"/>
        <v>107.94051913676546</v>
      </c>
      <c r="K55" s="6">
        <f t="shared" si="48"/>
        <v>113.88276742014061</v>
      </c>
      <c r="L55" s="6">
        <f t="shared" si="48"/>
        <v>119.28834138510793</v>
      </c>
      <c r="M55" s="6">
        <f t="shared" si="48"/>
        <v>123.80368310698137</v>
      </c>
      <c r="N55" s="6">
        <f t="shared" si="48"/>
        <v>128.39552949281762</v>
      </c>
      <c r="O55" s="6">
        <f t="shared" si="48"/>
        <v>130.35126165745851</v>
      </c>
      <c r="P55" s="6">
        <f t="shared" si="48"/>
        <v>132.09376922651927</v>
      </c>
      <c r="Q55" s="6">
        <f t="shared" si="48"/>
        <v>133.84353679558004</v>
      </c>
      <c r="R55" s="6">
        <f t="shared" si="48"/>
        <v>135.60056436464083</v>
      </c>
    </row>
    <row r="56" spans="1:20" x14ac:dyDescent="0.25">
      <c r="B56" s="4" t="s">
        <v>11</v>
      </c>
      <c r="C56" s="24">
        <v>191.92</v>
      </c>
      <c r="D56" s="28">
        <v>224.5</v>
      </c>
      <c r="E56" s="6">
        <f>128/181*365</f>
        <v>258.12154696132598</v>
      </c>
      <c r="F56" s="6">
        <f>F57*366</f>
        <v>278.34599048949963</v>
      </c>
      <c r="G56" s="6">
        <f t="shared" ref="G56:Q56" si="49">G57*365</f>
        <v>368.83548231876324</v>
      </c>
      <c r="H56" s="6">
        <f t="shared" si="49"/>
        <v>478.3354823187633</v>
      </c>
      <c r="I56" s="6">
        <f>I57*365</f>
        <v>551.3354823187633</v>
      </c>
      <c r="J56" s="6">
        <f>J57*366</f>
        <v>699.2459904894996</v>
      </c>
      <c r="K56" s="6">
        <f t="shared" si="49"/>
        <v>843.33548231876318</v>
      </c>
      <c r="L56" s="6">
        <f t="shared" si="49"/>
        <v>989.33548231876318</v>
      </c>
      <c r="M56" s="6">
        <f t="shared" si="49"/>
        <v>1153.5854823187633</v>
      </c>
      <c r="N56" s="6">
        <f>N57*366</f>
        <v>1321.4459904894995</v>
      </c>
      <c r="O56" s="6">
        <f t="shared" si="49"/>
        <v>1500.3354823187635</v>
      </c>
      <c r="P56" s="6">
        <f t="shared" si="49"/>
        <v>1682.8354823187635</v>
      </c>
      <c r="Q56" s="6">
        <f t="shared" si="49"/>
        <v>1865.3354823187635</v>
      </c>
      <c r="R56" s="6">
        <f>R57*366</f>
        <v>2053.4459904894998</v>
      </c>
    </row>
    <row r="57" spans="1:20" x14ac:dyDescent="0.25">
      <c r="B57" s="4" t="s">
        <v>12</v>
      </c>
      <c r="C57" s="27">
        <f>C56/365</f>
        <v>0.52580821917808218</v>
      </c>
      <c r="D57" s="27">
        <f>D56/366</f>
        <v>0.61338797814207646</v>
      </c>
      <c r="E57" s="7">
        <f>E56/365</f>
        <v>0.70718232044198892</v>
      </c>
      <c r="F57" s="7">
        <v>0.76050817073633781</v>
      </c>
      <c r="G57" s="7">
        <f>+F57+0.25</f>
        <v>1.0105081707363377</v>
      </c>
      <c r="H57" s="7">
        <f>+G57+0.3</f>
        <v>1.3105081707363377</v>
      </c>
      <c r="I57" s="7">
        <f>+H57+0.2</f>
        <v>1.5105081707363377</v>
      </c>
      <c r="J57" s="7">
        <f>+I57+0.4</f>
        <v>1.9105081707363376</v>
      </c>
      <c r="K57" s="7">
        <f t="shared" ref="K57:L57" si="50">+J57+0.4</f>
        <v>2.3105081707363375</v>
      </c>
      <c r="L57" s="7">
        <f t="shared" si="50"/>
        <v>2.7105081707363374</v>
      </c>
      <c r="M57" s="7">
        <f>+L57+0.45</f>
        <v>3.1605081707363376</v>
      </c>
      <c r="N57" s="7">
        <f t="shared" ref="N57" si="51">+M57+0.45</f>
        <v>3.6105081707363378</v>
      </c>
      <c r="O57" s="7">
        <f>+N57+0.5</f>
        <v>4.1105081707363382</v>
      </c>
      <c r="P57" s="7">
        <f t="shared" ref="P57:R57" si="52">+O57+0.5</f>
        <v>4.6105081707363382</v>
      </c>
      <c r="Q57" s="7">
        <f t="shared" si="52"/>
        <v>5.1105081707363382</v>
      </c>
      <c r="R57" s="7">
        <f t="shared" si="52"/>
        <v>5.6105081707363382</v>
      </c>
      <c r="T57" s="34"/>
    </row>
    <row r="58" spans="1:20" x14ac:dyDescent="0.25">
      <c r="B58" s="11"/>
      <c r="C58" s="11"/>
      <c r="D58" s="12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8"/>
      <c r="R58" s="48"/>
    </row>
    <row r="60" spans="1:20" ht="15.6" x14ac:dyDescent="0.3">
      <c r="A60" s="46">
        <v>5</v>
      </c>
      <c r="B60" s="57" t="s">
        <v>17</v>
      </c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spans="1:20" x14ac:dyDescent="0.25">
      <c r="B61" s="2" t="s">
        <v>1</v>
      </c>
      <c r="C61" s="18">
        <v>2021</v>
      </c>
      <c r="D61" s="18">
        <v>2022</v>
      </c>
      <c r="E61" s="18" t="s">
        <v>2</v>
      </c>
      <c r="F61" s="18">
        <v>2024</v>
      </c>
      <c r="G61" s="18">
        <v>2025</v>
      </c>
      <c r="H61" s="18">
        <v>2026</v>
      </c>
      <c r="I61" s="18">
        <v>2027</v>
      </c>
      <c r="J61" s="18">
        <v>2028</v>
      </c>
      <c r="K61" s="18">
        <v>2029</v>
      </c>
      <c r="L61" s="18">
        <v>2030</v>
      </c>
      <c r="M61" s="18">
        <v>2031</v>
      </c>
      <c r="N61" s="18">
        <v>2032</v>
      </c>
      <c r="O61" s="19">
        <v>2033</v>
      </c>
      <c r="P61" s="19">
        <v>2034</v>
      </c>
      <c r="Q61" s="19">
        <v>2035</v>
      </c>
      <c r="R61" s="19">
        <v>2036</v>
      </c>
    </row>
    <row r="62" spans="1:20" x14ac:dyDescent="0.25">
      <c r="B62" s="4" t="s">
        <v>3</v>
      </c>
      <c r="C62" s="4">
        <v>738</v>
      </c>
      <c r="D62" s="4">
        <v>830</v>
      </c>
      <c r="E62" s="6">
        <v>961.49</v>
      </c>
      <c r="F62" s="6">
        <v>1210.3499999999999</v>
      </c>
      <c r="G62" s="6">
        <v>1386.1299999999999</v>
      </c>
      <c r="H62" s="6">
        <v>1534.07</v>
      </c>
      <c r="I62" s="6">
        <v>1684.48</v>
      </c>
      <c r="J62" s="6">
        <v>1793.69</v>
      </c>
      <c r="K62" s="6">
        <v>1861.7</v>
      </c>
      <c r="L62" s="6">
        <v>1891.99</v>
      </c>
      <c r="M62" s="6">
        <v>1922.28</v>
      </c>
      <c r="N62" s="6">
        <v>1952.57</v>
      </c>
      <c r="O62" s="6">
        <v>1962</v>
      </c>
      <c r="P62" s="6">
        <v>1962</v>
      </c>
      <c r="Q62" s="6">
        <v>1962</v>
      </c>
      <c r="R62" s="6">
        <v>1962</v>
      </c>
    </row>
    <row r="63" spans="1:20" ht="26.4" x14ac:dyDescent="0.25">
      <c r="B63" s="4" t="s">
        <v>4</v>
      </c>
      <c r="C63" s="6">
        <f>C62*C64/100</f>
        <v>693.72</v>
      </c>
      <c r="D63" s="6">
        <f>D62*D64/100</f>
        <v>780.2</v>
      </c>
      <c r="E63" s="6">
        <f t="shared" ref="E63:R63" si="53">E62*E64/100</f>
        <v>903.80060000000003</v>
      </c>
      <c r="F63" s="6">
        <f t="shared" si="53"/>
        <v>1171.6188</v>
      </c>
      <c r="G63" s="6">
        <f t="shared" si="53"/>
        <v>1347.3183599999998</v>
      </c>
      <c r="H63" s="6">
        <f t="shared" si="53"/>
        <v>1495.7182499999999</v>
      </c>
      <c r="I63" s="6">
        <f t="shared" si="53"/>
        <v>1645.73696</v>
      </c>
      <c r="J63" s="6">
        <f t="shared" si="53"/>
        <v>1754.22882</v>
      </c>
      <c r="K63" s="6">
        <f t="shared" si="53"/>
        <v>1822.6043000000002</v>
      </c>
      <c r="L63" s="6">
        <f t="shared" si="53"/>
        <v>1854.1501999999998</v>
      </c>
      <c r="M63" s="6">
        <f t="shared" si="53"/>
        <v>1883.8344</v>
      </c>
      <c r="N63" s="6">
        <f t="shared" si="53"/>
        <v>1913.5185999999999</v>
      </c>
      <c r="O63" s="6">
        <f t="shared" si="53"/>
        <v>1922.76</v>
      </c>
      <c r="P63" s="6">
        <f t="shared" si="53"/>
        <v>1922.76</v>
      </c>
      <c r="Q63" s="6">
        <f t="shared" si="53"/>
        <v>1922.76</v>
      </c>
      <c r="R63" s="6">
        <f t="shared" si="53"/>
        <v>1922.76</v>
      </c>
    </row>
    <row r="64" spans="1:20" x14ac:dyDescent="0.25">
      <c r="B64" s="4" t="s">
        <v>5</v>
      </c>
      <c r="C64" s="6">
        <v>94</v>
      </c>
      <c r="D64" s="6">
        <v>94</v>
      </c>
      <c r="E64" s="6">
        <v>94</v>
      </c>
      <c r="F64" s="6">
        <v>96.8</v>
      </c>
      <c r="G64" s="6">
        <v>97.2</v>
      </c>
      <c r="H64" s="6">
        <v>97.5</v>
      </c>
      <c r="I64" s="6">
        <v>97.7</v>
      </c>
      <c r="J64" s="6">
        <v>97.8</v>
      </c>
      <c r="K64" s="6">
        <v>97.9</v>
      </c>
      <c r="L64" s="6">
        <v>98</v>
      </c>
      <c r="M64" s="6">
        <v>98</v>
      </c>
      <c r="N64" s="6">
        <v>98</v>
      </c>
      <c r="O64" s="6">
        <v>98</v>
      </c>
      <c r="P64" s="6">
        <v>98</v>
      </c>
      <c r="Q64" s="6">
        <v>98</v>
      </c>
      <c r="R64" s="6">
        <v>98</v>
      </c>
    </row>
    <row r="65" spans="1:20" x14ac:dyDescent="0.25">
      <c r="B65" s="4" t="s">
        <v>6</v>
      </c>
      <c r="C65" s="3">
        <f>C69/C63*1000</f>
        <v>141.86766758370001</v>
      </c>
      <c r="D65" s="3">
        <f>D69/D63*1000</f>
        <v>139.54623507144288</v>
      </c>
      <c r="E65" s="3">
        <f>E69/E63*1000</f>
        <v>133.21277951712867</v>
      </c>
      <c r="F65" s="3">
        <f t="shared" ref="F65:J65" si="54">E65-0.7</f>
        <v>132.51277951712868</v>
      </c>
      <c r="G65" s="3">
        <f t="shared" si="54"/>
        <v>131.81277951712869</v>
      </c>
      <c r="H65" s="3">
        <f t="shared" si="54"/>
        <v>131.1127795171287</v>
      </c>
      <c r="I65" s="3">
        <f t="shared" si="54"/>
        <v>130.41277951712871</v>
      </c>
      <c r="J65" s="3">
        <f t="shared" si="54"/>
        <v>129.71277951712872</v>
      </c>
      <c r="K65" s="3">
        <v>130</v>
      </c>
      <c r="L65" s="3">
        <v>130</v>
      </c>
      <c r="M65" s="3">
        <v>130</v>
      </c>
      <c r="N65" s="3">
        <v>130</v>
      </c>
      <c r="O65" s="3">
        <v>130</v>
      </c>
      <c r="P65" s="3">
        <v>130</v>
      </c>
      <c r="Q65" s="3">
        <v>130</v>
      </c>
      <c r="R65" s="3">
        <v>130</v>
      </c>
    </row>
    <row r="66" spans="1:20" x14ac:dyDescent="0.25">
      <c r="B66" s="4" t="s">
        <v>7</v>
      </c>
      <c r="C66" s="10">
        <f>+C68+C70</f>
        <v>44568</v>
      </c>
      <c r="D66" s="10">
        <f>+D68+D70</f>
        <v>49140</v>
      </c>
      <c r="E66" s="10">
        <f t="shared" ref="E66" si="55">+E68+E70</f>
        <v>53606.602209944751</v>
      </c>
      <c r="F66" s="10">
        <f t="shared" ref="F66:Q66" si="56">+F68+F70</f>
        <v>68707.012175482043</v>
      </c>
      <c r="G66" s="10">
        <f t="shared" si="56"/>
        <v>78863.137782790684</v>
      </c>
      <c r="H66" s="10">
        <f t="shared" si="56"/>
        <v>88540.74749295738</v>
      </c>
      <c r="I66" s="10">
        <f t="shared" si="56"/>
        <v>98219.581767078431</v>
      </c>
      <c r="J66" s="10">
        <f t="shared" si="56"/>
        <v>106145.67644439725</v>
      </c>
      <c r="K66" s="10">
        <f t="shared" si="56"/>
        <v>112203.98287477902</v>
      </c>
      <c r="L66" s="10">
        <f t="shared" si="56"/>
        <v>116620.835829779</v>
      </c>
      <c r="M66" s="10">
        <f t="shared" si="56"/>
        <v>120949.35111977901</v>
      </c>
      <c r="N66" s="10">
        <f t="shared" si="56"/>
        <v>125621.09344103867</v>
      </c>
      <c r="O66" s="10">
        <f t="shared" si="56"/>
        <v>128636.370839779</v>
      </c>
      <c r="P66" s="10">
        <f t="shared" si="56"/>
        <v>130654.962</v>
      </c>
      <c r="Q66" s="10">
        <f t="shared" si="56"/>
        <v>140144.962</v>
      </c>
      <c r="R66" s="10">
        <f t="shared" ref="R66" si="57">+R68+R70</f>
        <v>150044.92079999999</v>
      </c>
    </row>
    <row r="67" spans="1:20" x14ac:dyDescent="0.25">
      <c r="B67" s="4" t="s">
        <v>8</v>
      </c>
      <c r="C67" s="6">
        <f t="shared" ref="C67:G67" si="58">C69+C71</f>
        <v>122.10410958904109</v>
      </c>
      <c r="D67" s="6">
        <f t="shared" si="58"/>
        <v>134.55976495246651</v>
      </c>
      <c r="E67" s="6">
        <f>E66/181</f>
        <v>296.16907298312015</v>
      </c>
      <c r="F67" s="24">
        <f>+F69+F71</f>
        <v>187.72407698219138</v>
      </c>
      <c r="G67" s="6">
        <f t="shared" si="58"/>
        <v>216.06339118572788</v>
      </c>
      <c r="H67" s="6">
        <f t="shared" ref="H67:R67" si="59">+H69+H71+H72</f>
        <v>242.57739039166407</v>
      </c>
      <c r="I67" s="6">
        <f t="shared" si="59"/>
        <v>269.09474456733818</v>
      </c>
      <c r="J67" s="6">
        <f t="shared" si="59"/>
        <v>290.01550941092142</v>
      </c>
      <c r="K67" s="6">
        <f t="shared" si="59"/>
        <v>307.4081722596685</v>
      </c>
      <c r="L67" s="6">
        <f t="shared" si="59"/>
        <v>319.50913925966847</v>
      </c>
      <c r="M67" s="6">
        <f t="shared" si="59"/>
        <v>331.36808525966853</v>
      </c>
      <c r="N67" s="6">
        <f t="shared" si="59"/>
        <v>343.22703125966848</v>
      </c>
      <c r="O67" s="6">
        <f t="shared" si="59"/>
        <v>352.4284132596685</v>
      </c>
      <c r="P67" s="6">
        <f t="shared" si="59"/>
        <v>377.9588</v>
      </c>
      <c r="Q67" s="6">
        <f t="shared" si="59"/>
        <v>403.9588</v>
      </c>
      <c r="R67" s="6">
        <f t="shared" si="59"/>
        <v>429.9588</v>
      </c>
    </row>
    <row r="68" spans="1:20" x14ac:dyDescent="0.25">
      <c r="B68" s="4" t="s">
        <v>9</v>
      </c>
      <c r="C68" s="6">
        <v>35922</v>
      </c>
      <c r="D68" s="6">
        <v>39739</v>
      </c>
      <c r="E68" s="6">
        <f>21792/181*365</f>
        <v>43945.193370165747</v>
      </c>
      <c r="F68" s="6">
        <f>F69*366</f>
        <v>56823.133722443374</v>
      </c>
      <c r="G68" s="6">
        <f t="shared" ref="G68:Q68" si="60">G69*365</f>
        <v>64821.728943011673</v>
      </c>
      <c r="H68" s="6">
        <f t="shared" si="60"/>
        <v>71579.338653178376</v>
      </c>
      <c r="I68" s="6">
        <f t="shared" si="60"/>
        <v>78338.172927299427</v>
      </c>
      <c r="J68" s="6">
        <f>J69*366</f>
        <v>83281.797991358573</v>
      </c>
      <c r="K68" s="6">
        <f t="shared" si="60"/>
        <v>86482.574035000012</v>
      </c>
      <c r="L68" s="6">
        <f t="shared" si="60"/>
        <v>87979.426989999993</v>
      </c>
      <c r="M68" s="6">
        <f t="shared" si="60"/>
        <v>89387.942280000003</v>
      </c>
      <c r="N68" s="6">
        <f>N69*366</f>
        <v>91045.214987999992</v>
      </c>
      <c r="O68" s="6">
        <f t="shared" si="60"/>
        <v>91234.962</v>
      </c>
      <c r="P68" s="6">
        <f t="shared" si="60"/>
        <v>91234.962</v>
      </c>
      <c r="Q68" s="6">
        <f t="shared" si="60"/>
        <v>91234.962</v>
      </c>
      <c r="R68" s="6">
        <f>R69*366</f>
        <v>91484.920799999993</v>
      </c>
    </row>
    <row r="69" spans="1:20" x14ac:dyDescent="0.25">
      <c r="B69" s="4" t="s">
        <v>10</v>
      </c>
      <c r="C69" s="13">
        <f t="shared" ref="C69:D69" si="61">C68/365</f>
        <v>98.416438356164377</v>
      </c>
      <c r="D69" s="13">
        <f t="shared" si="61"/>
        <v>108.87397260273973</v>
      </c>
      <c r="E69" s="13">
        <f>E68/365</f>
        <v>120.39779005524862</v>
      </c>
      <c r="F69" s="6">
        <f t="shared" ref="F69:R69" si="62">F63*F65/1000</f>
        <v>155.25446372252287</v>
      </c>
      <c r="G69" s="6">
        <f t="shared" si="62"/>
        <v>177.59377792605937</v>
      </c>
      <c r="H69" s="6">
        <f t="shared" si="62"/>
        <v>196.10777713199556</v>
      </c>
      <c r="I69" s="6">
        <f t="shared" si="62"/>
        <v>214.62513130766968</v>
      </c>
      <c r="J69" s="6">
        <f t="shared" si="62"/>
        <v>227.54589615125292</v>
      </c>
      <c r="K69" s="6">
        <f t="shared" si="62"/>
        <v>236.93855900000003</v>
      </c>
      <c r="L69" s="6">
        <f t="shared" si="62"/>
        <v>241.039526</v>
      </c>
      <c r="M69" s="6">
        <f t="shared" si="62"/>
        <v>244.898472</v>
      </c>
      <c r="N69" s="6">
        <f t="shared" si="62"/>
        <v>248.75741799999997</v>
      </c>
      <c r="O69" s="6">
        <f t="shared" si="62"/>
        <v>249.9588</v>
      </c>
      <c r="P69" s="6">
        <f t="shared" si="62"/>
        <v>249.9588</v>
      </c>
      <c r="Q69" s="6">
        <f t="shared" si="62"/>
        <v>249.9588</v>
      </c>
      <c r="R69" s="6">
        <f t="shared" si="62"/>
        <v>249.9588</v>
      </c>
      <c r="S69" s="29"/>
    </row>
    <row r="70" spans="1:20" x14ac:dyDescent="0.25">
      <c r="B70" s="36" t="s">
        <v>11</v>
      </c>
      <c r="C70" s="38">
        <v>8646</v>
      </c>
      <c r="D70" s="13">
        <v>9401</v>
      </c>
      <c r="E70" s="6">
        <f>4791/181*365</f>
        <v>9661.4088397790056</v>
      </c>
      <c r="F70" s="6">
        <f>F71*366</f>
        <v>11883.878453038673</v>
      </c>
      <c r="G70" s="6">
        <f t="shared" ref="G70:Q70" si="63">G71*365</f>
        <v>14041.408839779006</v>
      </c>
      <c r="H70" s="6">
        <f t="shared" si="63"/>
        <v>16961.408839779004</v>
      </c>
      <c r="I70" s="6">
        <f t="shared" si="63"/>
        <v>19881.408839779004</v>
      </c>
      <c r="J70" s="6">
        <f>J71*366</f>
        <v>22863.878453038673</v>
      </c>
      <c r="K70" s="6">
        <f t="shared" si="63"/>
        <v>25721.408839779004</v>
      </c>
      <c r="L70" s="6">
        <f t="shared" si="63"/>
        <v>28641.408839779004</v>
      </c>
      <c r="M70" s="6">
        <f t="shared" si="63"/>
        <v>31561.408839779004</v>
      </c>
      <c r="N70" s="6">
        <f>N71*366</f>
        <v>34575.878453038677</v>
      </c>
      <c r="O70" s="6">
        <f t="shared" si="63"/>
        <v>37401.408839779004</v>
      </c>
      <c r="P70" s="6">
        <f t="shared" si="63"/>
        <v>39420</v>
      </c>
      <c r="Q70" s="6">
        <f t="shared" si="63"/>
        <v>48910</v>
      </c>
      <c r="R70" s="6">
        <f>R71*366</f>
        <v>58560</v>
      </c>
    </row>
    <row r="71" spans="1:20" x14ac:dyDescent="0.25">
      <c r="B71" s="36" t="s">
        <v>12</v>
      </c>
      <c r="C71" s="39">
        <f>C70/365</f>
        <v>23.687671232876713</v>
      </c>
      <c r="D71" s="24">
        <f>D70/366</f>
        <v>25.685792349726775</v>
      </c>
      <c r="E71" s="6">
        <f>E70/365</f>
        <v>26.46961325966851</v>
      </c>
      <c r="F71" s="6">
        <f>+E71+6</f>
        <v>32.469613259668506</v>
      </c>
      <c r="G71" s="6">
        <f t="shared" ref="G71" si="64">+F71+6</f>
        <v>38.469613259668506</v>
      </c>
      <c r="H71" s="6">
        <f>+G71+8</f>
        <v>46.469613259668506</v>
      </c>
      <c r="I71" s="6">
        <f t="shared" ref="I71:O71" si="65">+H71+8</f>
        <v>54.469613259668506</v>
      </c>
      <c r="J71" s="6">
        <f t="shared" si="65"/>
        <v>62.469613259668506</v>
      </c>
      <c r="K71" s="6">
        <f t="shared" si="65"/>
        <v>70.469613259668506</v>
      </c>
      <c r="L71" s="6">
        <f t="shared" si="65"/>
        <v>78.469613259668506</v>
      </c>
      <c r="M71" s="6">
        <f t="shared" si="65"/>
        <v>86.469613259668506</v>
      </c>
      <c r="N71" s="6">
        <f t="shared" si="65"/>
        <v>94.469613259668506</v>
      </c>
      <c r="O71" s="6">
        <f t="shared" si="65"/>
        <v>102.46961325966851</v>
      </c>
      <c r="P71" s="6">
        <v>108</v>
      </c>
      <c r="Q71" s="6">
        <v>134</v>
      </c>
      <c r="R71" s="6">
        <v>160</v>
      </c>
      <c r="T71" s="34"/>
    </row>
    <row r="72" spans="1:20" ht="26.4" x14ac:dyDescent="0.25">
      <c r="B72" s="4" t="s">
        <v>13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>
        <v>20</v>
      </c>
      <c r="Q72" s="6">
        <v>20</v>
      </c>
      <c r="R72" s="6">
        <v>20</v>
      </c>
      <c r="T72" s="34"/>
    </row>
    <row r="73" spans="1:20" x14ac:dyDescent="0.25">
      <c r="B73" s="11"/>
      <c r="C73" s="30"/>
      <c r="D73" s="31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8"/>
      <c r="R73" s="48"/>
    </row>
    <row r="75" spans="1:20" ht="13.5" customHeight="1" x14ac:dyDescent="0.3">
      <c r="A75" s="46">
        <v>6</v>
      </c>
      <c r="B75" s="53" t="s">
        <v>18</v>
      </c>
      <c r="C75" s="53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</row>
    <row r="76" spans="1:20" x14ac:dyDescent="0.25">
      <c r="B76" s="2" t="s">
        <v>1</v>
      </c>
      <c r="C76" s="18">
        <v>2021</v>
      </c>
      <c r="D76" s="18">
        <v>2022</v>
      </c>
      <c r="E76" s="18" t="s">
        <v>2</v>
      </c>
      <c r="F76" s="18">
        <v>2024</v>
      </c>
      <c r="G76" s="18">
        <v>2025</v>
      </c>
      <c r="H76" s="18">
        <v>2026</v>
      </c>
      <c r="I76" s="18">
        <v>2027</v>
      </c>
      <c r="J76" s="18">
        <v>2028</v>
      </c>
      <c r="K76" s="18">
        <v>2029</v>
      </c>
      <c r="L76" s="18">
        <v>2030</v>
      </c>
      <c r="M76" s="18">
        <v>2031</v>
      </c>
      <c r="N76" s="18">
        <v>2032</v>
      </c>
      <c r="O76" s="19">
        <v>2033</v>
      </c>
      <c r="P76" s="19">
        <v>2034</v>
      </c>
      <c r="Q76" s="19">
        <v>2035</v>
      </c>
      <c r="R76" s="19">
        <v>2036</v>
      </c>
    </row>
    <row r="77" spans="1:20" x14ac:dyDescent="0.25">
      <c r="B77" s="4" t="s">
        <v>3</v>
      </c>
      <c r="C77" s="4">
        <v>769</v>
      </c>
      <c r="D77" s="4">
        <v>764</v>
      </c>
      <c r="E77" s="6">
        <v>864</v>
      </c>
      <c r="F77" s="6">
        <v>1081.3399999999999</v>
      </c>
      <c r="G77" s="6">
        <v>1165.78</v>
      </c>
      <c r="H77" s="6">
        <v>1229.6399999999999</v>
      </c>
      <c r="I77" s="6">
        <v>1286.54</v>
      </c>
      <c r="J77" s="6">
        <v>1343.44</v>
      </c>
      <c r="K77" s="6">
        <v>1400.3400000000001</v>
      </c>
      <c r="L77" s="6">
        <v>1446.8</v>
      </c>
      <c r="M77" s="6">
        <v>1469.2</v>
      </c>
      <c r="N77" s="6">
        <v>1491.6000000000001</v>
      </c>
      <c r="O77" s="6">
        <v>1509.0000000000002</v>
      </c>
      <c r="P77" s="6">
        <v>1509.0000000000002</v>
      </c>
      <c r="Q77" s="6">
        <v>1509.0000000000002</v>
      </c>
      <c r="R77" s="6">
        <v>1509.0000000000002</v>
      </c>
    </row>
    <row r="78" spans="1:20" ht="26.4" x14ac:dyDescent="0.25">
      <c r="B78" s="4" t="s">
        <v>4</v>
      </c>
      <c r="C78" s="6">
        <f>C77*C79/100</f>
        <v>722.86</v>
      </c>
      <c r="D78" s="6">
        <f>D77*D79/100</f>
        <v>718.16</v>
      </c>
      <c r="E78" s="6">
        <f>E77*E79/100</f>
        <v>829.44</v>
      </c>
      <c r="F78" s="6">
        <f t="shared" ref="F78:R78" si="66">F77*F79/100</f>
        <v>1058.63186</v>
      </c>
      <c r="G78" s="6">
        <f t="shared" si="66"/>
        <v>1142.4644000000001</v>
      </c>
      <c r="H78" s="6">
        <f t="shared" si="66"/>
        <v>1206.2768399999998</v>
      </c>
      <c r="I78" s="6">
        <f t="shared" si="66"/>
        <v>1263.38228</v>
      </c>
      <c r="J78" s="6">
        <f t="shared" si="66"/>
        <v>1320.6015199999999</v>
      </c>
      <c r="K78" s="6">
        <f t="shared" si="66"/>
        <v>1377.9345600000004</v>
      </c>
      <c r="L78" s="6">
        <f t="shared" si="66"/>
        <v>1423.6512</v>
      </c>
      <c r="M78" s="6">
        <f t="shared" si="66"/>
        <v>1445.6928</v>
      </c>
      <c r="N78" s="6">
        <f t="shared" si="66"/>
        <v>1469.2260000000001</v>
      </c>
      <c r="O78" s="6">
        <f t="shared" si="66"/>
        <v>1486.3650000000002</v>
      </c>
      <c r="P78" s="6">
        <f t="shared" si="66"/>
        <v>1486.3650000000002</v>
      </c>
      <c r="Q78" s="6">
        <f t="shared" si="66"/>
        <v>1486.3650000000002</v>
      </c>
      <c r="R78" s="6">
        <f t="shared" si="66"/>
        <v>1486.3650000000002</v>
      </c>
    </row>
    <row r="79" spans="1:20" x14ac:dyDescent="0.25">
      <c r="B79" s="4" t="s">
        <v>5</v>
      </c>
      <c r="C79" s="6">
        <v>94</v>
      </c>
      <c r="D79" s="6">
        <v>94</v>
      </c>
      <c r="E79" s="6">
        <v>96</v>
      </c>
      <c r="F79" s="6">
        <v>97.9</v>
      </c>
      <c r="G79" s="6">
        <v>98</v>
      </c>
      <c r="H79" s="6">
        <v>98.1</v>
      </c>
      <c r="I79" s="6">
        <v>98.2</v>
      </c>
      <c r="J79" s="6">
        <v>98.3</v>
      </c>
      <c r="K79" s="6">
        <v>98.4</v>
      </c>
      <c r="L79" s="6">
        <v>98.4</v>
      </c>
      <c r="M79" s="6">
        <v>98.4</v>
      </c>
      <c r="N79" s="6">
        <v>98.5</v>
      </c>
      <c r="O79" s="6">
        <v>98.5</v>
      </c>
      <c r="P79" s="6">
        <v>98.5</v>
      </c>
      <c r="Q79" s="6">
        <v>98.5</v>
      </c>
      <c r="R79" s="6">
        <v>98.5</v>
      </c>
    </row>
    <row r="80" spans="1:20" x14ac:dyDescent="0.25">
      <c r="B80" s="4" t="s">
        <v>6</v>
      </c>
      <c r="C80" s="3">
        <f>C84/C78*1000</f>
        <v>151.53657143485219</v>
      </c>
      <c r="D80" s="3">
        <f>D84/D78*1000</f>
        <v>162.47501964644314</v>
      </c>
      <c r="E80" s="3">
        <f>E84/E78*1000</f>
        <v>150.57087042152648</v>
      </c>
      <c r="F80" s="3">
        <f t="shared" ref="F80:Q80" si="67">+E80-2.3</f>
        <v>148.27087042152647</v>
      </c>
      <c r="G80" s="3">
        <f t="shared" si="67"/>
        <v>145.97087042152646</v>
      </c>
      <c r="H80" s="3">
        <f t="shared" si="67"/>
        <v>143.67087042152644</v>
      </c>
      <c r="I80" s="3">
        <f t="shared" si="67"/>
        <v>141.37087042152643</v>
      </c>
      <c r="J80" s="3">
        <f t="shared" si="67"/>
        <v>139.07087042152642</v>
      </c>
      <c r="K80" s="3">
        <f t="shared" si="67"/>
        <v>136.77087042152641</v>
      </c>
      <c r="L80" s="3">
        <f t="shared" si="67"/>
        <v>134.4708704215264</v>
      </c>
      <c r="M80" s="3">
        <f t="shared" si="67"/>
        <v>132.17087042152639</v>
      </c>
      <c r="N80" s="3">
        <f t="shared" si="67"/>
        <v>129.87087042152638</v>
      </c>
      <c r="O80" s="3">
        <f t="shared" si="67"/>
        <v>127.57087042152638</v>
      </c>
      <c r="P80" s="3">
        <f t="shared" si="67"/>
        <v>125.27087042152638</v>
      </c>
      <c r="Q80" s="3">
        <f t="shared" si="67"/>
        <v>122.97087042152639</v>
      </c>
      <c r="R80" s="3">
        <v>130</v>
      </c>
    </row>
    <row r="81" spans="1:20" x14ac:dyDescent="0.25">
      <c r="B81" s="4" t="s">
        <v>7</v>
      </c>
      <c r="C81" s="10">
        <f>+C83+C85</f>
        <v>39982</v>
      </c>
      <c r="D81" s="10">
        <f>+D83+D85</f>
        <v>42706</v>
      </c>
      <c r="E81" s="10">
        <f t="shared" ref="E81" si="68">+E83+E85</f>
        <v>45584.668508287294</v>
      </c>
      <c r="F81" s="10">
        <f t="shared" ref="F81:R81" si="69">+F83+F85</f>
        <v>57448.921845766396</v>
      </c>
      <c r="G81" s="10">
        <f t="shared" si="69"/>
        <v>60869.780856166544</v>
      </c>
      <c r="H81" s="10">
        <f t="shared" si="69"/>
        <v>63256.997903826858</v>
      </c>
      <c r="I81" s="10">
        <f t="shared" si="69"/>
        <v>65190.990198537409</v>
      </c>
      <c r="J81" s="10">
        <f t="shared" si="69"/>
        <v>67584.536249099037</v>
      </c>
      <c r="K81" s="10">
        <f t="shared" si="69"/>
        <v>69518.377841612615</v>
      </c>
      <c r="L81" s="10">
        <f t="shared" si="69"/>
        <v>70970.459854837463</v>
      </c>
      <c r="M81" s="10">
        <f t="shared" si="69"/>
        <v>71203.643644418786</v>
      </c>
      <c r="N81" s="10">
        <f t="shared" si="69"/>
        <v>71666.335364533137</v>
      </c>
      <c r="O81" s="10">
        <f t="shared" si="69"/>
        <v>71400.160037143607</v>
      </c>
      <c r="P81" s="10">
        <f t="shared" si="69"/>
        <v>70517.3566196436</v>
      </c>
      <c r="Q81" s="10">
        <f t="shared" si="69"/>
        <v>69634.553202143608</v>
      </c>
      <c r="R81" s="10">
        <f t="shared" si="69"/>
        <v>74015.246700000018</v>
      </c>
    </row>
    <row r="82" spans="1:20" x14ac:dyDescent="0.25">
      <c r="B82" s="4" t="s">
        <v>8</v>
      </c>
      <c r="C82" s="6">
        <f t="shared" ref="C82:G82" si="70">C84+C86</f>
        <v>109.53972602739726</v>
      </c>
      <c r="D82" s="6">
        <f t="shared" si="70"/>
        <v>116.68306010928961</v>
      </c>
      <c r="E82" s="6">
        <f>E81/365</f>
        <v>124.88950276243094</v>
      </c>
      <c r="F82" s="24">
        <f>+F84+F86</f>
        <v>156.96426733815954</v>
      </c>
      <c r="G82" s="6">
        <f t="shared" si="70"/>
        <v>166.76652289360698</v>
      </c>
      <c r="H82" s="6">
        <f t="shared" ref="H82:R82" si="71">+H84+H86+H87</f>
        <v>173.30684357212837</v>
      </c>
      <c r="I82" s="6">
        <f t="shared" si="71"/>
        <v>178.60545259873263</v>
      </c>
      <c r="J82" s="6">
        <f t="shared" si="71"/>
        <v>184.6572028663908</v>
      </c>
      <c r="K82" s="6">
        <f t="shared" si="71"/>
        <v>190.46130915510304</v>
      </c>
      <c r="L82" s="6">
        <f t="shared" si="71"/>
        <v>194.43961604065058</v>
      </c>
      <c r="M82" s="6">
        <f t="shared" si="71"/>
        <v>195.07847573813368</v>
      </c>
      <c r="N82" s="6">
        <f t="shared" si="71"/>
        <v>195.80965946593753</v>
      </c>
      <c r="O82" s="6">
        <f t="shared" si="71"/>
        <v>195.61687681409208</v>
      </c>
      <c r="P82" s="6">
        <f t="shared" si="71"/>
        <v>193.19823731409207</v>
      </c>
      <c r="Q82" s="6">
        <f t="shared" si="71"/>
        <v>190.77959781409209</v>
      </c>
      <c r="R82" s="6">
        <f t="shared" si="71"/>
        <v>202.22745000000003</v>
      </c>
    </row>
    <row r="83" spans="1:20" x14ac:dyDescent="0.25">
      <c r="B83" s="4" t="s">
        <v>9</v>
      </c>
      <c r="C83" s="6">
        <v>39982</v>
      </c>
      <c r="D83" s="6">
        <v>42706</v>
      </c>
      <c r="E83" s="6">
        <f>22605/181*365</f>
        <v>45584.668508287294</v>
      </c>
      <c r="F83" s="6">
        <f>F84*366</f>
        <v>57448.921845766396</v>
      </c>
      <c r="G83" s="6">
        <f t="shared" ref="G83:Q83" si="72">G84*365</f>
        <v>60869.780856166544</v>
      </c>
      <c r="H83" s="6">
        <f t="shared" si="72"/>
        <v>63256.997903826858</v>
      </c>
      <c r="I83" s="6">
        <f t="shared" si="72"/>
        <v>65190.990198537409</v>
      </c>
      <c r="J83" s="6">
        <f>J84*366</f>
        <v>67218.536249099037</v>
      </c>
      <c r="K83" s="6">
        <f t="shared" si="72"/>
        <v>68788.377841612615</v>
      </c>
      <c r="L83" s="6">
        <f t="shared" si="72"/>
        <v>69875.459854837463</v>
      </c>
      <c r="M83" s="6">
        <f t="shared" si="72"/>
        <v>69743.643644418786</v>
      </c>
      <c r="N83" s="6">
        <f>N84*366</f>
        <v>69836.335364533137</v>
      </c>
      <c r="O83" s="6">
        <f t="shared" si="72"/>
        <v>69210.160037143607</v>
      </c>
      <c r="P83" s="6">
        <f t="shared" si="72"/>
        <v>67962.3566196436</v>
      </c>
      <c r="Q83" s="6">
        <f t="shared" si="72"/>
        <v>66714.553202143608</v>
      </c>
      <c r="R83" s="6">
        <f>R84*366</f>
        <v>70721.246700000018</v>
      </c>
    </row>
    <row r="84" spans="1:20" x14ac:dyDescent="0.25">
      <c r="B84" s="4" t="s">
        <v>10</v>
      </c>
      <c r="C84" s="13">
        <f>C83/365</f>
        <v>109.53972602739726</v>
      </c>
      <c r="D84" s="13">
        <f>D83/366</f>
        <v>116.68306010928961</v>
      </c>
      <c r="E84" s="6">
        <f>E83/365</f>
        <v>124.88950276243094</v>
      </c>
      <c r="F84" s="6">
        <f t="shared" ref="F84:R84" si="73">F78*F80/1000</f>
        <v>156.96426733815954</v>
      </c>
      <c r="G84" s="6">
        <f t="shared" si="73"/>
        <v>166.76652289360698</v>
      </c>
      <c r="H84" s="6">
        <f t="shared" si="73"/>
        <v>173.30684357212837</v>
      </c>
      <c r="I84" s="6">
        <f t="shared" si="73"/>
        <v>178.60545259873263</v>
      </c>
      <c r="J84" s="6">
        <f t="shared" si="73"/>
        <v>183.6572028663908</v>
      </c>
      <c r="K84" s="6">
        <f t="shared" si="73"/>
        <v>188.46130915510304</v>
      </c>
      <c r="L84" s="6">
        <f t="shared" si="73"/>
        <v>191.43961604065058</v>
      </c>
      <c r="M84" s="6">
        <f t="shared" si="73"/>
        <v>191.07847573813368</v>
      </c>
      <c r="N84" s="6">
        <f t="shared" si="73"/>
        <v>190.80965946593753</v>
      </c>
      <c r="O84" s="6">
        <f t="shared" si="73"/>
        <v>189.61687681409208</v>
      </c>
      <c r="P84" s="6">
        <f t="shared" si="73"/>
        <v>186.19823731409207</v>
      </c>
      <c r="Q84" s="6">
        <f t="shared" si="73"/>
        <v>182.77959781409209</v>
      </c>
      <c r="R84" s="6">
        <f t="shared" si="73"/>
        <v>193.22745000000003</v>
      </c>
      <c r="S84" s="29"/>
    </row>
    <row r="85" spans="1:20" x14ac:dyDescent="0.25">
      <c r="B85" s="4" t="s">
        <v>11</v>
      </c>
      <c r="C85" s="16">
        <v>0</v>
      </c>
      <c r="D85" s="16">
        <v>0</v>
      </c>
      <c r="E85" s="6">
        <v>0</v>
      </c>
      <c r="F85" s="6">
        <f>F86*366</f>
        <v>0</v>
      </c>
      <c r="G85" s="6">
        <f t="shared" ref="G85:Q85" si="74">G86*365</f>
        <v>0</v>
      </c>
      <c r="H85" s="6">
        <f t="shared" si="74"/>
        <v>0</v>
      </c>
      <c r="I85" s="6">
        <f t="shared" si="74"/>
        <v>0</v>
      </c>
      <c r="J85" s="6">
        <f>J86*366</f>
        <v>366</v>
      </c>
      <c r="K85" s="6">
        <f t="shared" si="74"/>
        <v>730</v>
      </c>
      <c r="L85" s="6">
        <f t="shared" si="74"/>
        <v>1095</v>
      </c>
      <c r="M85" s="6">
        <f t="shared" si="74"/>
        <v>1460</v>
      </c>
      <c r="N85" s="6">
        <f>N86*366</f>
        <v>1830</v>
      </c>
      <c r="O85" s="6">
        <f t="shared" si="74"/>
        <v>2190</v>
      </c>
      <c r="P85" s="6">
        <f t="shared" si="74"/>
        <v>2555</v>
      </c>
      <c r="Q85" s="6">
        <f t="shared" si="74"/>
        <v>2920</v>
      </c>
      <c r="R85" s="6">
        <f>R86*366</f>
        <v>3294</v>
      </c>
    </row>
    <row r="86" spans="1:20" x14ac:dyDescent="0.25">
      <c r="B86" s="4" t="s">
        <v>12</v>
      </c>
      <c r="C86" s="37">
        <f>C85/365</f>
        <v>0</v>
      </c>
      <c r="D86" s="27">
        <f>D85/366</f>
        <v>0</v>
      </c>
      <c r="E86" s="27">
        <f>E85/366</f>
        <v>0</v>
      </c>
      <c r="F86" s="7">
        <f t="shared" ref="F86" si="75">E86*F87</f>
        <v>0</v>
      </c>
      <c r="G86" s="7">
        <f t="shared" ref="G86" si="76">F86*G87</f>
        <v>0</v>
      </c>
      <c r="H86" s="7">
        <f t="shared" ref="H86" si="77">G86*H87</f>
        <v>0</v>
      </c>
      <c r="I86" s="7">
        <f t="shared" ref="I86" si="78">H86*I87</f>
        <v>0</v>
      </c>
      <c r="J86" s="7">
        <v>1</v>
      </c>
      <c r="K86" s="7">
        <v>2</v>
      </c>
      <c r="L86" s="7">
        <v>3</v>
      </c>
      <c r="M86" s="7">
        <v>4</v>
      </c>
      <c r="N86" s="7">
        <v>5</v>
      </c>
      <c r="O86" s="7">
        <v>6</v>
      </c>
      <c r="P86" s="7">
        <v>7</v>
      </c>
      <c r="Q86" s="7">
        <v>8</v>
      </c>
      <c r="R86" s="7">
        <v>9</v>
      </c>
      <c r="T86" s="34"/>
    </row>
    <row r="87" spans="1:20" x14ac:dyDescent="0.25">
      <c r="B87" s="15"/>
      <c r="C87" s="15"/>
      <c r="D87" s="14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8"/>
      <c r="R87" s="48"/>
    </row>
    <row r="89" spans="1:20" ht="15.6" x14ac:dyDescent="0.3">
      <c r="A89" s="46">
        <v>7</v>
      </c>
      <c r="B89" s="53" t="s">
        <v>19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26"/>
      <c r="R89" s="26"/>
    </row>
    <row r="90" spans="1:20" x14ac:dyDescent="0.25">
      <c r="B90" s="4" t="s">
        <v>1</v>
      </c>
      <c r="C90" s="18">
        <v>2021</v>
      </c>
      <c r="D90" s="18">
        <v>2022</v>
      </c>
      <c r="E90" s="18" t="s">
        <v>2</v>
      </c>
      <c r="F90" s="18">
        <v>2024</v>
      </c>
      <c r="G90" s="18">
        <v>2025</v>
      </c>
      <c r="H90" s="18">
        <v>2026</v>
      </c>
      <c r="I90" s="18">
        <v>2027</v>
      </c>
      <c r="J90" s="18">
        <v>2028</v>
      </c>
      <c r="K90" s="18">
        <v>2029</v>
      </c>
      <c r="L90" s="18">
        <v>2030</v>
      </c>
      <c r="M90" s="18">
        <v>2031</v>
      </c>
      <c r="N90" s="18">
        <v>2032</v>
      </c>
      <c r="O90" s="19">
        <v>2033</v>
      </c>
      <c r="P90" s="19">
        <v>2034</v>
      </c>
      <c r="Q90" s="19">
        <v>2035</v>
      </c>
      <c r="R90" s="19">
        <v>2036</v>
      </c>
    </row>
    <row r="91" spans="1:20" x14ac:dyDescent="0.25">
      <c r="B91" s="4" t="s">
        <v>3</v>
      </c>
      <c r="C91" s="4">
        <v>334</v>
      </c>
      <c r="D91" s="4">
        <v>310</v>
      </c>
      <c r="E91" s="6">
        <v>342.92399999999998</v>
      </c>
      <c r="F91" s="6">
        <v>348.84799999999996</v>
      </c>
      <c r="G91" s="6">
        <v>357.79999999999995</v>
      </c>
      <c r="H91" s="6">
        <v>362.79999999999995</v>
      </c>
      <c r="I91" s="6">
        <v>367.79999999999995</v>
      </c>
      <c r="J91" s="6">
        <v>372.79999999999995</v>
      </c>
      <c r="K91" s="6">
        <v>377.79999999999995</v>
      </c>
      <c r="L91" s="6">
        <v>382.79999999999995</v>
      </c>
      <c r="M91" s="6">
        <v>387.79999999999995</v>
      </c>
      <c r="N91" s="6">
        <v>392.79999999999995</v>
      </c>
      <c r="O91" s="6">
        <v>392.79999999999995</v>
      </c>
      <c r="P91" s="6">
        <v>392.79999999999995</v>
      </c>
      <c r="Q91" s="6">
        <v>392.79999999999995</v>
      </c>
      <c r="R91" s="6">
        <v>392.79999999999995</v>
      </c>
    </row>
    <row r="92" spans="1:20" ht="26.4" x14ac:dyDescent="0.25">
      <c r="B92" s="4" t="s">
        <v>4</v>
      </c>
      <c r="C92" s="6">
        <f>C91*C93/100</f>
        <v>330.66</v>
      </c>
      <c r="D92" s="6">
        <f>D91*D93/100</f>
        <v>306.89999999999998</v>
      </c>
      <c r="E92" s="6">
        <f>E91*E93/100</f>
        <v>339.49475999999993</v>
      </c>
      <c r="F92" s="6">
        <f t="shared" ref="F92" si="79">F91*F93/100</f>
        <v>345.35951999999997</v>
      </c>
      <c r="G92" s="6">
        <f t="shared" ref="G92" si="80">G91*G93/100</f>
        <v>354.22199999999998</v>
      </c>
      <c r="H92" s="6">
        <f t="shared" ref="H92" si="81">H91*H93/100</f>
        <v>359.17199999999997</v>
      </c>
      <c r="I92" s="6">
        <f t="shared" ref="I92" si="82">I91*I93/100</f>
        <v>364.12199999999996</v>
      </c>
      <c r="J92" s="6">
        <f t="shared" ref="J92" si="83">J91*J93/100</f>
        <v>369.07199999999995</v>
      </c>
      <c r="K92" s="6">
        <f t="shared" ref="K92" si="84">K91*K93/100</f>
        <v>374.02199999999999</v>
      </c>
      <c r="L92" s="6">
        <f t="shared" ref="L92" si="85">L91*L93/100</f>
        <v>378.97199999999998</v>
      </c>
      <c r="M92" s="6">
        <f t="shared" ref="M92" si="86">M91*M93/100</f>
        <v>383.92199999999997</v>
      </c>
      <c r="N92" s="6">
        <f t="shared" ref="N92" si="87">N91*N93/100</f>
        <v>388.87199999999996</v>
      </c>
      <c r="O92" s="6">
        <f t="shared" ref="O92" si="88">O91*O93/100</f>
        <v>388.87199999999996</v>
      </c>
      <c r="P92" s="6">
        <f t="shared" ref="P92" si="89">P91*P93/100</f>
        <v>388.87199999999996</v>
      </c>
      <c r="Q92" s="6">
        <f t="shared" ref="Q92" si="90">Q91*Q93/100</f>
        <v>388.87199999999996</v>
      </c>
      <c r="R92" s="6">
        <f t="shared" ref="R92" si="91">R91*R93/100</f>
        <v>388.87199999999996</v>
      </c>
    </row>
    <row r="93" spans="1:20" x14ac:dyDescent="0.25">
      <c r="B93" s="4" t="s">
        <v>5</v>
      </c>
      <c r="C93" s="6">
        <v>99</v>
      </c>
      <c r="D93" s="6">
        <v>99</v>
      </c>
      <c r="E93" s="6">
        <v>99</v>
      </c>
      <c r="F93" s="6">
        <v>99</v>
      </c>
      <c r="G93" s="6">
        <v>99</v>
      </c>
      <c r="H93" s="6">
        <v>99</v>
      </c>
      <c r="I93" s="6">
        <v>99</v>
      </c>
      <c r="J93" s="6">
        <v>99</v>
      </c>
      <c r="K93" s="6">
        <v>99</v>
      </c>
      <c r="L93" s="6">
        <v>99</v>
      </c>
      <c r="M93" s="6">
        <v>99</v>
      </c>
      <c r="N93" s="6">
        <v>99</v>
      </c>
      <c r="O93" s="6">
        <v>99</v>
      </c>
      <c r="P93" s="6">
        <v>99</v>
      </c>
      <c r="Q93" s="6">
        <v>99</v>
      </c>
      <c r="R93" s="6">
        <v>99</v>
      </c>
    </row>
    <row r="94" spans="1:20" x14ac:dyDescent="0.25">
      <c r="B94" s="4" t="s">
        <v>20</v>
      </c>
      <c r="C94" s="3">
        <f>C98/C92*1000</f>
        <v>114.12625144066369</v>
      </c>
      <c r="D94" s="3">
        <f>D98/D92*1000</f>
        <v>112.12067795885883</v>
      </c>
      <c r="E94" s="3">
        <f>E98/E92*1000</f>
        <v>109.66898045464687</v>
      </c>
      <c r="F94" s="3">
        <f>+E94+2.5</f>
        <v>112.16898045464687</v>
      </c>
      <c r="G94" s="3">
        <f t="shared" ref="G94" si="92">+F94+2.5</f>
        <v>114.66898045464687</v>
      </c>
      <c r="H94" s="3">
        <f>+G94+0.5</f>
        <v>115.16898045464687</v>
      </c>
      <c r="I94" s="3">
        <f t="shared" ref="I94:R94" si="93">+H94+0.5</f>
        <v>115.66898045464687</v>
      </c>
      <c r="J94" s="3">
        <f t="shared" si="93"/>
        <v>116.16898045464687</v>
      </c>
      <c r="K94" s="3">
        <f t="shared" si="93"/>
        <v>116.66898045464687</v>
      </c>
      <c r="L94" s="3">
        <f t="shared" si="93"/>
        <v>117.16898045464687</v>
      </c>
      <c r="M94" s="3">
        <f t="shared" si="93"/>
        <v>117.66898045464687</v>
      </c>
      <c r="N94" s="3">
        <f t="shared" si="93"/>
        <v>118.16898045464687</v>
      </c>
      <c r="O94" s="3">
        <f t="shared" si="93"/>
        <v>118.66898045464687</v>
      </c>
      <c r="P94" s="3">
        <f t="shared" si="93"/>
        <v>119.16898045464687</v>
      </c>
      <c r="Q94" s="3">
        <f t="shared" si="93"/>
        <v>119.66898045464687</v>
      </c>
      <c r="R94" s="3">
        <f t="shared" si="93"/>
        <v>120.16898045464687</v>
      </c>
    </row>
    <row r="95" spans="1:20" x14ac:dyDescent="0.25">
      <c r="B95" s="4" t="s">
        <v>7</v>
      </c>
      <c r="C95" s="10">
        <f>+C97+C99</f>
        <v>29424</v>
      </c>
      <c r="D95" s="10">
        <f>+D97+D99</f>
        <v>28341</v>
      </c>
      <c r="E95" s="10">
        <f t="shared" ref="E95" si="94">+E97+E99</f>
        <v>29107.237569060773</v>
      </c>
      <c r="F95" s="10">
        <f t="shared" ref="F95:R95" si="95">+F97+F99</f>
        <v>28818.336841026477</v>
      </c>
      <c r="G95" s="10">
        <f t="shared" si="95"/>
        <v>29425.670592031158</v>
      </c>
      <c r="H95" s="10">
        <f t="shared" si="95"/>
        <v>29698.397662467596</v>
      </c>
      <c r="I95" s="10">
        <f t="shared" si="95"/>
        <v>29972.93148290403</v>
      </c>
      <c r="J95" s="10">
        <f t="shared" si="95"/>
        <v>30332.146771294814</v>
      </c>
      <c r="K95" s="10">
        <f t="shared" si="95"/>
        <v>30571.056139184504</v>
      </c>
      <c r="L95" s="10">
        <f t="shared" si="95"/>
        <v>30851.777207074185</v>
      </c>
      <c r="M95" s="10">
        <f t="shared" si="95"/>
        <v>31134.309974963868</v>
      </c>
      <c r="N95" s="10">
        <f t="shared" si="95"/>
        <v>31458.654442853553</v>
      </c>
      <c r="O95" s="10">
        <f t="shared" si="95"/>
        <v>31443.670975086192</v>
      </c>
      <c r="P95" s="10">
        <f t="shared" si="95"/>
        <v>31514.640115086193</v>
      </c>
      <c r="Q95" s="10">
        <f t="shared" si="95"/>
        <v>100935.60925508619</v>
      </c>
      <c r="R95" s="10">
        <f t="shared" si="95"/>
        <v>170823.30874685355</v>
      </c>
    </row>
    <row r="96" spans="1:20" x14ac:dyDescent="0.25">
      <c r="B96" s="4" t="s">
        <v>8</v>
      </c>
      <c r="C96" s="6">
        <f t="shared" ref="C96:G96" si="96">C98+C100</f>
        <v>80.61369863013698</v>
      </c>
      <c r="D96" s="6">
        <f t="shared" si="96"/>
        <v>77.55230181899843</v>
      </c>
      <c r="E96" s="6">
        <f>E95/365</f>
        <v>79.745856353591165</v>
      </c>
      <c r="F96" s="24">
        <f>+F98+F100</f>
        <v>78.738625248706228</v>
      </c>
      <c r="G96" s="6">
        <f t="shared" si="96"/>
        <v>80.618275594605919</v>
      </c>
      <c r="H96" s="6">
        <f t="shared" ref="H96:R96" si="97">+H98+H100+H101</f>
        <v>81.365473047856426</v>
      </c>
      <c r="I96" s="6">
        <f t="shared" si="97"/>
        <v>82.117620501106927</v>
      </c>
      <c r="J96" s="6">
        <f t="shared" si="97"/>
        <v>82.874717954357422</v>
      </c>
      <c r="K96" s="6">
        <f t="shared" si="97"/>
        <v>83.636765407607925</v>
      </c>
      <c r="L96" s="6">
        <f t="shared" si="97"/>
        <v>84.403762860858436</v>
      </c>
      <c r="M96" s="6">
        <f t="shared" si="97"/>
        <v>85.175710314108926</v>
      </c>
      <c r="N96" s="6">
        <f t="shared" si="97"/>
        <v>85.952607767359439</v>
      </c>
      <c r="O96" s="6">
        <f t="shared" si="97"/>
        <v>86.147043767359435</v>
      </c>
      <c r="P96" s="6">
        <f t="shared" si="97"/>
        <v>276.34147976735943</v>
      </c>
      <c r="Q96" s="6">
        <f t="shared" si="97"/>
        <v>466.53591576735943</v>
      </c>
      <c r="R96" s="6">
        <f t="shared" si="97"/>
        <v>646.73035176735948</v>
      </c>
    </row>
    <row r="97" spans="1:20" x14ac:dyDescent="0.25">
      <c r="B97" s="4" t="s">
        <v>9</v>
      </c>
      <c r="C97" s="6">
        <v>13774</v>
      </c>
      <c r="D97" s="6">
        <v>12594</v>
      </c>
      <c r="E97" s="6">
        <f>6739/181*365</f>
        <v>13589.696132596684</v>
      </c>
      <c r="F97" s="6">
        <f>F98*366</f>
        <v>14178.336841026477</v>
      </c>
      <c r="G97" s="6">
        <f t="shared" ref="G97:Q97" si="98">G98*365</f>
        <v>14825.67059203116</v>
      </c>
      <c r="H97" s="6">
        <f t="shared" si="98"/>
        <v>15098.397662467596</v>
      </c>
      <c r="I97" s="6">
        <f t="shared" si="98"/>
        <v>15372.931482904029</v>
      </c>
      <c r="J97" s="6">
        <f>J98*366</f>
        <v>15692.146771294816</v>
      </c>
      <c r="K97" s="6">
        <f t="shared" ref="K97:N97" si="99">K98*366</f>
        <v>15971.056139184502</v>
      </c>
      <c r="L97" s="6">
        <f t="shared" si="99"/>
        <v>16251.777207074187</v>
      </c>
      <c r="M97" s="6">
        <f t="shared" si="99"/>
        <v>16534.309974963868</v>
      </c>
      <c r="N97" s="6">
        <f t="shared" si="99"/>
        <v>16818.654442853553</v>
      </c>
      <c r="O97" s="6">
        <f t="shared" si="98"/>
        <v>16843.670975086192</v>
      </c>
      <c r="P97" s="6">
        <f t="shared" si="98"/>
        <v>16914.640115086193</v>
      </c>
      <c r="Q97" s="6">
        <f t="shared" si="98"/>
        <v>16985.609255086194</v>
      </c>
      <c r="R97" s="6">
        <f>R98*366</f>
        <v>17103.308746853552</v>
      </c>
    </row>
    <row r="98" spans="1:20" x14ac:dyDescent="0.25">
      <c r="B98" s="4" t="s">
        <v>10</v>
      </c>
      <c r="C98" s="13">
        <f>C97/365</f>
        <v>37.736986301369861</v>
      </c>
      <c r="D98" s="13">
        <f>D97/366</f>
        <v>34.409836065573771</v>
      </c>
      <c r="E98" s="6">
        <f>E97/365</f>
        <v>37.232044198895025</v>
      </c>
      <c r="F98" s="6">
        <f t="shared" ref="F98:R98" si="100">F92*F94/1000</f>
        <v>38.738625248706221</v>
      </c>
      <c r="G98" s="6">
        <f t="shared" si="100"/>
        <v>40.618275594605919</v>
      </c>
      <c r="H98" s="6">
        <f t="shared" si="100"/>
        <v>41.365473047856426</v>
      </c>
      <c r="I98" s="6">
        <f t="shared" si="100"/>
        <v>42.117620501106927</v>
      </c>
      <c r="J98" s="6">
        <f t="shared" si="100"/>
        <v>42.874717954357422</v>
      </c>
      <c r="K98" s="6">
        <f t="shared" si="100"/>
        <v>43.636765407607932</v>
      </c>
      <c r="L98" s="6">
        <f t="shared" si="100"/>
        <v>44.403762860858436</v>
      </c>
      <c r="M98" s="6">
        <f t="shared" si="100"/>
        <v>45.175710314108933</v>
      </c>
      <c r="N98" s="6">
        <f t="shared" si="100"/>
        <v>45.952607767359432</v>
      </c>
      <c r="O98" s="6">
        <f t="shared" si="100"/>
        <v>46.147043767359435</v>
      </c>
      <c r="P98" s="6">
        <f t="shared" si="100"/>
        <v>46.341479767359431</v>
      </c>
      <c r="Q98" s="6">
        <f t="shared" si="100"/>
        <v>46.535915767359434</v>
      </c>
      <c r="R98" s="6">
        <f t="shared" si="100"/>
        <v>46.73035176735943</v>
      </c>
      <c r="S98" s="29"/>
    </row>
    <row r="99" spans="1:20" x14ac:dyDescent="0.25">
      <c r="B99" s="4" t="s">
        <v>11</v>
      </c>
      <c r="C99" s="13">
        <v>15650</v>
      </c>
      <c r="D99" s="13">
        <v>15747</v>
      </c>
      <c r="E99" s="6">
        <f>7695/181*365</f>
        <v>15517.541436464089</v>
      </c>
      <c r="F99" s="6">
        <f>F100*366</f>
        <v>14640</v>
      </c>
      <c r="G99" s="6">
        <f t="shared" ref="G99:I99" si="101">G100*365</f>
        <v>14600</v>
      </c>
      <c r="H99" s="6">
        <f t="shared" si="101"/>
        <v>14600</v>
      </c>
      <c r="I99" s="6">
        <f t="shared" si="101"/>
        <v>14600</v>
      </c>
      <c r="J99" s="6">
        <f>J100*366</f>
        <v>14640</v>
      </c>
      <c r="K99" s="6">
        <f t="shared" ref="K99:Q99" si="102">K100*365</f>
        <v>14600</v>
      </c>
      <c r="L99" s="6">
        <f t="shared" si="102"/>
        <v>14600</v>
      </c>
      <c r="M99" s="6">
        <f t="shared" si="102"/>
        <v>14600</v>
      </c>
      <c r="N99" s="6">
        <f t="shared" ref="N99" si="103">N100*366</f>
        <v>14640</v>
      </c>
      <c r="O99" s="6">
        <f t="shared" si="102"/>
        <v>14600</v>
      </c>
      <c r="P99" s="6">
        <f t="shared" si="102"/>
        <v>14600</v>
      </c>
      <c r="Q99" s="6">
        <f t="shared" si="102"/>
        <v>83950</v>
      </c>
      <c r="R99" s="6">
        <f>R100*366</f>
        <v>153720</v>
      </c>
    </row>
    <row r="100" spans="1:20" x14ac:dyDescent="0.25">
      <c r="B100" s="4" t="s">
        <v>12</v>
      </c>
      <c r="C100" s="39">
        <f>C99/365</f>
        <v>42.876712328767127</v>
      </c>
      <c r="D100" s="39">
        <f>D99/365</f>
        <v>43.142465753424659</v>
      </c>
      <c r="E100" s="6">
        <f>E99/365</f>
        <v>42.513812154696133</v>
      </c>
      <c r="F100" s="6">
        <v>40</v>
      </c>
      <c r="G100" s="6">
        <v>40</v>
      </c>
      <c r="H100" s="6">
        <v>40</v>
      </c>
      <c r="I100" s="6">
        <v>40</v>
      </c>
      <c r="J100" s="6">
        <v>40</v>
      </c>
      <c r="K100" s="6">
        <v>40</v>
      </c>
      <c r="L100" s="6">
        <v>40</v>
      </c>
      <c r="M100" s="6">
        <v>40</v>
      </c>
      <c r="N100" s="6">
        <v>40</v>
      </c>
      <c r="O100" s="6">
        <v>40</v>
      </c>
      <c r="P100" s="6">
        <v>40</v>
      </c>
      <c r="Q100" s="6">
        <v>230</v>
      </c>
      <c r="R100" s="6">
        <v>420</v>
      </c>
      <c r="T100" s="40"/>
    </row>
    <row r="101" spans="1:20" ht="26.4" x14ac:dyDescent="0.25">
      <c r="B101" s="4" t="s">
        <v>13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v>190</v>
      </c>
      <c r="Q101" s="6">
        <v>190</v>
      </c>
      <c r="R101" s="6">
        <v>180</v>
      </c>
      <c r="T101" s="40"/>
    </row>
    <row r="102" spans="1:20" ht="15.75" customHeight="1" x14ac:dyDescent="0.25">
      <c r="B102" s="11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8"/>
      <c r="R102" s="48"/>
    </row>
    <row r="104" spans="1:20" ht="13.5" customHeight="1" x14ac:dyDescent="0.3">
      <c r="A104" s="46">
        <v>8</v>
      </c>
      <c r="B104" s="53" t="s">
        <v>21</v>
      </c>
      <c r="C104" s="53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</row>
    <row r="105" spans="1:20" x14ac:dyDescent="0.25">
      <c r="B105" s="4" t="s">
        <v>1</v>
      </c>
      <c r="C105" s="18">
        <v>2021</v>
      </c>
      <c r="D105" s="18">
        <v>2022</v>
      </c>
      <c r="E105" s="18" t="s">
        <v>2</v>
      </c>
      <c r="F105" s="18">
        <v>2024</v>
      </c>
      <c r="G105" s="18">
        <v>2025</v>
      </c>
      <c r="H105" s="18">
        <v>2026</v>
      </c>
      <c r="I105" s="18">
        <v>2027</v>
      </c>
      <c r="J105" s="18">
        <v>2028</v>
      </c>
      <c r="K105" s="18">
        <v>2029</v>
      </c>
      <c r="L105" s="18">
        <v>2030</v>
      </c>
      <c r="M105" s="18">
        <v>2031</v>
      </c>
      <c r="N105" s="18">
        <v>2032</v>
      </c>
      <c r="O105" s="19">
        <v>2033</v>
      </c>
      <c r="P105" s="19">
        <v>2034</v>
      </c>
      <c r="Q105" s="19">
        <v>2035</v>
      </c>
      <c r="R105" s="19">
        <v>2036</v>
      </c>
    </row>
    <row r="106" spans="1:20" x14ac:dyDescent="0.25">
      <c r="B106" s="4" t="s">
        <v>3</v>
      </c>
      <c r="C106" s="4">
        <v>565</v>
      </c>
      <c r="D106" s="4">
        <v>593</v>
      </c>
      <c r="E106" s="6">
        <v>605.43999999999994</v>
      </c>
      <c r="F106" s="6">
        <v>636.75999999999988</v>
      </c>
      <c r="G106" s="6">
        <v>668.07999999999981</v>
      </c>
      <c r="H106" s="6">
        <v>699.39999999999975</v>
      </c>
      <c r="I106" s="6">
        <v>730.71999999999969</v>
      </c>
      <c r="J106" s="6">
        <v>762.03999999999962</v>
      </c>
      <c r="K106" s="6">
        <v>793.35999999999956</v>
      </c>
      <c r="L106" s="6">
        <v>824.6799999999995</v>
      </c>
      <c r="M106" s="6">
        <v>855.99999999999943</v>
      </c>
      <c r="N106" s="6">
        <v>882.75999999999931</v>
      </c>
      <c r="O106" s="6">
        <v>891.87999999999931</v>
      </c>
      <c r="P106" s="6">
        <v>896.43999999999926</v>
      </c>
      <c r="Q106" s="6">
        <v>900.9999999999992</v>
      </c>
      <c r="R106" s="6">
        <v>900.9999999999992</v>
      </c>
    </row>
    <row r="107" spans="1:20" ht="26.4" x14ac:dyDescent="0.25">
      <c r="B107" s="4" t="s">
        <v>4</v>
      </c>
      <c r="C107" s="6">
        <f>C106*C108/100</f>
        <v>452</v>
      </c>
      <c r="D107" s="6">
        <f>D106*D108/100</f>
        <v>480.33</v>
      </c>
      <c r="E107" s="6">
        <v>490</v>
      </c>
      <c r="F107" s="6">
        <f t="shared" ref="F107" si="104">F106*F108/100</f>
        <v>524.05347999999992</v>
      </c>
      <c r="G107" s="6">
        <f t="shared" ref="G107" si="105">G106*G108/100</f>
        <v>555.17447999999979</v>
      </c>
      <c r="H107" s="6">
        <f t="shared" ref="H107" si="106">H106*H108/100</f>
        <v>586.09719999999982</v>
      </c>
      <c r="I107" s="6">
        <f t="shared" ref="I107" si="107">I106*I108/100</f>
        <v>617.45839999999976</v>
      </c>
      <c r="J107" s="6">
        <f t="shared" ref="J107" si="108">J106*J108/100</f>
        <v>649.25807999999972</v>
      </c>
      <c r="K107" s="6">
        <f t="shared" ref="K107" si="109">K106*K108/100</f>
        <v>680.7028799999996</v>
      </c>
      <c r="L107" s="6">
        <f t="shared" ref="L107" si="110">L106*L108/100</f>
        <v>711.69883999999945</v>
      </c>
      <c r="M107" s="6">
        <f t="shared" ref="M107" si="111">M106*M108/100</f>
        <v>743.00799999999947</v>
      </c>
      <c r="N107" s="6">
        <f t="shared" ref="N107" si="112">N106*N108/100</f>
        <v>769.76671999999951</v>
      </c>
      <c r="O107" s="6">
        <f t="shared" ref="O107" si="113">O106*O108/100</f>
        <v>778.61123999999938</v>
      </c>
      <c r="P107" s="6">
        <f t="shared" ref="P107" si="114">P106*P108/100</f>
        <v>783.48855999999944</v>
      </c>
      <c r="Q107" s="6">
        <f t="shared" ref="Q107" si="115">Q106*Q108/100</f>
        <v>788.37499999999932</v>
      </c>
      <c r="R107" s="6">
        <f t="shared" ref="R107" si="116">R106*R108/100</f>
        <v>788.37499999999932</v>
      </c>
    </row>
    <row r="108" spans="1:20" x14ac:dyDescent="0.25">
      <c r="B108" s="4" t="s">
        <v>5</v>
      </c>
      <c r="C108" s="6">
        <v>80</v>
      </c>
      <c r="D108" s="6">
        <v>81</v>
      </c>
      <c r="E108" s="6">
        <v>81.3</v>
      </c>
      <c r="F108" s="6">
        <v>82.3</v>
      </c>
      <c r="G108" s="6">
        <v>83.1</v>
      </c>
      <c r="H108" s="6">
        <v>83.8</v>
      </c>
      <c r="I108" s="6">
        <v>84.5</v>
      </c>
      <c r="J108" s="6">
        <v>85.2</v>
      </c>
      <c r="K108" s="6">
        <v>85.8</v>
      </c>
      <c r="L108" s="6">
        <v>86.3</v>
      </c>
      <c r="M108" s="6">
        <v>86.8</v>
      </c>
      <c r="N108" s="6">
        <v>87.2</v>
      </c>
      <c r="O108" s="6">
        <v>87.3</v>
      </c>
      <c r="P108" s="6">
        <v>87.4</v>
      </c>
      <c r="Q108" s="6">
        <v>87.5</v>
      </c>
      <c r="R108" s="6">
        <v>87.5</v>
      </c>
    </row>
    <row r="109" spans="1:20" x14ac:dyDescent="0.25">
      <c r="B109" s="4" t="s">
        <v>6</v>
      </c>
      <c r="C109" s="3">
        <f>C113/C107*1000</f>
        <v>111.61959025336404</v>
      </c>
      <c r="D109" s="3">
        <f>D113/D107*1000</f>
        <v>110.28376894994281</v>
      </c>
      <c r="E109" s="3">
        <f>E113/E107*1000</f>
        <v>106.52835719923328</v>
      </c>
      <c r="F109" s="3">
        <f>+E109+1.1</f>
        <v>107.62835719923328</v>
      </c>
      <c r="G109" s="3">
        <f t="shared" ref="G109:Q109" si="117">+F109+1.1</f>
        <v>108.72835719923327</v>
      </c>
      <c r="H109" s="3">
        <f t="shared" si="117"/>
        <v>109.82835719923327</v>
      </c>
      <c r="I109" s="3">
        <f t="shared" si="117"/>
        <v>110.92835719923326</v>
      </c>
      <c r="J109" s="3">
        <f t="shared" si="117"/>
        <v>112.02835719923326</v>
      </c>
      <c r="K109" s="3">
        <f t="shared" si="117"/>
        <v>113.12835719923325</v>
      </c>
      <c r="L109" s="3">
        <f t="shared" si="117"/>
        <v>114.22835719923324</v>
      </c>
      <c r="M109" s="3">
        <f t="shared" si="117"/>
        <v>115.32835719923324</v>
      </c>
      <c r="N109" s="3">
        <f t="shared" si="117"/>
        <v>116.42835719923323</v>
      </c>
      <c r="O109" s="3">
        <f t="shared" si="117"/>
        <v>117.52835719923323</v>
      </c>
      <c r="P109" s="3">
        <f t="shared" si="117"/>
        <v>118.62835719923322</v>
      </c>
      <c r="Q109" s="3">
        <f t="shared" si="117"/>
        <v>119.72835719923322</v>
      </c>
      <c r="R109" s="3">
        <v>120</v>
      </c>
    </row>
    <row r="110" spans="1:20" x14ac:dyDescent="0.25">
      <c r="B110" s="4" t="s">
        <v>7</v>
      </c>
      <c r="C110" s="10">
        <f>+C112+C114</f>
        <v>18415</v>
      </c>
      <c r="D110" s="10">
        <f>+D112+D114</f>
        <v>19335</v>
      </c>
      <c r="E110" s="10">
        <f t="shared" ref="E110" si="118">+E112+E114</f>
        <v>19052.596685082874</v>
      </c>
      <c r="F110" s="10">
        <f t="shared" ref="F110:R110" si="119">+F112+F114</f>
        <v>20643.503540120495</v>
      </c>
      <c r="G110" s="10">
        <f t="shared" si="119"/>
        <v>22032.571346808578</v>
      </c>
      <c r="H110" s="10">
        <f t="shared" si="119"/>
        <v>23495.083811800709</v>
      </c>
      <c r="I110" s="10">
        <f t="shared" si="119"/>
        <v>25000.180772066462</v>
      </c>
      <c r="J110" s="10">
        <f t="shared" si="119"/>
        <v>44921.125692866568</v>
      </c>
      <c r="K110" s="10">
        <f t="shared" si="119"/>
        <v>46434.488271198352</v>
      </c>
      <c r="L110" s="10">
        <f t="shared" si="119"/>
        <v>48004.405288850758</v>
      </c>
      <c r="M110" s="10">
        <f t="shared" si="119"/>
        <v>49612.500481474941</v>
      </c>
      <c r="N110" s="10">
        <f t="shared" si="119"/>
        <v>51101.898916864608</v>
      </c>
      <c r="O110" s="10">
        <f t="shared" si="119"/>
        <v>51650.748475931119</v>
      </c>
      <c r="P110" s="10">
        <f t="shared" si="119"/>
        <v>52174.545676375375</v>
      </c>
      <c r="Q110" s="10">
        <f t="shared" si="119"/>
        <v>52702.657916535078</v>
      </c>
      <c r="R110" s="10">
        <f t="shared" si="119"/>
        <v>52925.429999999971</v>
      </c>
    </row>
    <row r="111" spans="1:20" x14ac:dyDescent="0.25">
      <c r="B111" s="4" t="s">
        <v>8</v>
      </c>
      <c r="C111" s="6">
        <f t="shared" ref="C111:H111" si="120">C113+C115</f>
        <v>50.452054794520549</v>
      </c>
      <c r="D111" s="6">
        <f t="shared" si="120"/>
        <v>52.972602739726028</v>
      </c>
      <c r="E111" s="6">
        <f>E110/365</f>
        <v>52.19889502762431</v>
      </c>
      <c r="F111" s="24">
        <f>+F113+F115</f>
        <v>56.403015136941242</v>
      </c>
      <c r="G111" s="6">
        <f t="shared" si="120"/>
        <v>60.363209169338568</v>
      </c>
      <c r="H111" s="6">
        <f t="shared" si="120"/>
        <v>64.370092635070435</v>
      </c>
      <c r="I111" s="6">
        <f t="shared" ref="I111:R111" si="121">+I113+I115+I116</f>
        <v>68.49364595086702</v>
      </c>
      <c r="J111" s="6">
        <f t="shared" si="121"/>
        <v>122.73531610072834</v>
      </c>
      <c r="K111" s="6">
        <f t="shared" si="121"/>
        <v>127.00679855518676</v>
      </c>
      <c r="L111" s="6">
        <f t="shared" si="121"/>
        <v>131.29618931379989</v>
      </c>
      <c r="M111" s="6">
        <f t="shared" si="121"/>
        <v>135.68989202588784</v>
      </c>
      <c r="N111" s="6">
        <f t="shared" si="121"/>
        <v>139.6226746362421</v>
      </c>
      <c r="O111" s="6">
        <f t="shared" si="121"/>
        <v>141.50889993405787</v>
      </c>
      <c r="P111" s="6">
        <f t="shared" si="121"/>
        <v>142.94396075719283</v>
      </c>
      <c r="Q111" s="6">
        <f t="shared" si="121"/>
        <v>144.3908436069454</v>
      </c>
      <c r="R111" s="6">
        <f t="shared" si="121"/>
        <v>144.6049999999999</v>
      </c>
    </row>
    <row r="112" spans="1:20" x14ac:dyDescent="0.25">
      <c r="B112" s="4" t="s">
        <v>9</v>
      </c>
      <c r="C112" s="6">
        <v>18415</v>
      </c>
      <c r="D112" s="6">
        <v>19335</v>
      </c>
      <c r="E112" s="6">
        <f>9448/181*365</f>
        <v>19052.596685082874</v>
      </c>
      <c r="F112" s="6">
        <f>F113*366</f>
        <v>20643.503540120495</v>
      </c>
      <c r="G112" s="6">
        <f t="shared" ref="G112:Q112" si="122">G113*365</f>
        <v>22032.571346808578</v>
      </c>
      <c r="H112" s="6">
        <f t="shared" si="122"/>
        <v>23495.083811800709</v>
      </c>
      <c r="I112" s="6">
        <f t="shared" si="122"/>
        <v>25000.180772066462</v>
      </c>
      <c r="J112" s="6">
        <f>J113*366</f>
        <v>26621.125692866572</v>
      </c>
      <c r="K112" s="6">
        <f t="shared" ref="K112" si="123">K113*366</f>
        <v>28184.488271198356</v>
      </c>
      <c r="L112" s="6">
        <f t="shared" ref="L112" si="124">L113*366</f>
        <v>29754.405288850758</v>
      </c>
      <c r="M112" s="6">
        <f t="shared" ref="M112" si="125">M113*366</f>
        <v>31362.500481474945</v>
      </c>
      <c r="N112" s="6">
        <f t="shared" ref="N112" si="126">N113*366</f>
        <v>32801.898916864608</v>
      </c>
      <c r="O112" s="6">
        <f t="shared" si="122"/>
        <v>33400.748475931119</v>
      </c>
      <c r="P112" s="6">
        <f t="shared" si="122"/>
        <v>33924.545676375375</v>
      </c>
      <c r="Q112" s="6">
        <f t="shared" si="122"/>
        <v>34452.657916535078</v>
      </c>
      <c r="R112" s="6">
        <f>R113*366</f>
        <v>34625.429999999971</v>
      </c>
    </row>
    <row r="113" spans="1:20" x14ac:dyDescent="0.25">
      <c r="B113" s="4" t="s">
        <v>10</v>
      </c>
      <c r="C113" s="13">
        <f>C112/365</f>
        <v>50.452054794520549</v>
      </c>
      <c r="D113" s="13">
        <f>D112/365</f>
        <v>52.972602739726028</v>
      </c>
      <c r="E113" s="6">
        <f>E112/365</f>
        <v>52.19889502762431</v>
      </c>
      <c r="F113" s="6">
        <f t="shared" ref="F113:R113" si="127">F107*F109/1000</f>
        <v>56.403015136941242</v>
      </c>
      <c r="G113" s="6">
        <f t="shared" si="127"/>
        <v>60.363209169338568</v>
      </c>
      <c r="H113" s="6">
        <f t="shared" si="127"/>
        <v>64.370092635070435</v>
      </c>
      <c r="I113" s="6">
        <f t="shared" si="127"/>
        <v>68.49364595086702</v>
      </c>
      <c r="J113" s="6">
        <f t="shared" si="127"/>
        <v>72.73531610072834</v>
      </c>
      <c r="K113" s="6">
        <f t="shared" si="127"/>
        <v>77.006798555186762</v>
      </c>
      <c r="L113" s="6">
        <f t="shared" si="127"/>
        <v>81.296189313799886</v>
      </c>
      <c r="M113" s="6">
        <f t="shared" si="127"/>
        <v>85.689892025887829</v>
      </c>
      <c r="N113" s="6">
        <f t="shared" si="127"/>
        <v>89.622674636242095</v>
      </c>
      <c r="O113" s="6">
        <f t="shared" si="127"/>
        <v>91.508899934057851</v>
      </c>
      <c r="P113" s="6">
        <f t="shared" si="127"/>
        <v>92.943960757192812</v>
      </c>
      <c r="Q113" s="6">
        <f t="shared" si="127"/>
        <v>94.39084360694541</v>
      </c>
      <c r="R113" s="6">
        <f t="shared" si="127"/>
        <v>94.604999999999919</v>
      </c>
      <c r="S113" s="29"/>
    </row>
    <row r="114" spans="1:20" ht="26.4" x14ac:dyDescent="0.25">
      <c r="B114" s="4" t="s">
        <v>22</v>
      </c>
      <c r="C114" s="13">
        <v>0</v>
      </c>
      <c r="D114" s="13">
        <v>0</v>
      </c>
      <c r="E114" s="13">
        <v>0</v>
      </c>
      <c r="F114" s="6">
        <f>F115*366</f>
        <v>0</v>
      </c>
      <c r="G114" s="6">
        <f t="shared" ref="G114:Q114" si="128">G115*365</f>
        <v>0</v>
      </c>
      <c r="H114" s="6">
        <f t="shared" si="128"/>
        <v>0</v>
      </c>
      <c r="I114" s="6">
        <f t="shared" si="128"/>
        <v>0</v>
      </c>
      <c r="J114" s="6">
        <f>J115*366</f>
        <v>18300</v>
      </c>
      <c r="K114" s="6">
        <f t="shared" si="128"/>
        <v>18250</v>
      </c>
      <c r="L114" s="6">
        <f t="shared" si="128"/>
        <v>18250</v>
      </c>
      <c r="M114" s="6">
        <f t="shared" si="128"/>
        <v>18250</v>
      </c>
      <c r="N114" s="6">
        <f t="shared" ref="N114" si="129">N115*366</f>
        <v>18300</v>
      </c>
      <c r="O114" s="6">
        <f t="shared" si="128"/>
        <v>18250</v>
      </c>
      <c r="P114" s="6">
        <f t="shared" si="128"/>
        <v>18250</v>
      </c>
      <c r="Q114" s="6">
        <f t="shared" si="128"/>
        <v>18250</v>
      </c>
      <c r="R114" s="6">
        <f>R115*366</f>
        <v>18300</v>
      </c>
    </row>
    <row r="115" spans="1:20" ht="26.4" x14ac:dyDescent="0.25">
      <c r="B115" s="4" t="s">
        <v>23</v>
      </c>
      <c r="C115" s="39">
        <f>C114/365</f>
        <v>0</v>
      </c>
      <c r="D115" s="39">
        <f>D114/365</f>
        <v>0</v>
      </c>
      <c r="E115" s="39">
        <f>E114/365</f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50</v>
      </c>
      <c r="K115" s="13">
        <v>50</v>
      </c>
      <c r="L115" s="13">
        <v>50</v>
      </c>
      <c r="M115" s="13">
        <v>50</v>
      </c>
      <c r="N115" s="13">
        <v>50</v>
      </c>
      <c r="O115" s="13">
        <v>50</v>
      </c>
      <c r="P115" s="13">
        <v>50</v>
      </c>
      <c r="Q115" s="13">
        <v>50</v>
      </c>
      <c r="R115" s="13">
        <v>50</v>
      </c>
      <c r="T115" s="41"/>
    </row>
    <row r="116" spans="1:20" x14ac:dyDescent="0.25">
      <c r="B116" s="9"/>
      <c r="C116" s="9"/>
    </row>
    <row r="118" spans="1:20" ht="13.5" customHeight="1" x14ac:dyDescent="0.3">
      <c r="A118" s="46">
        <v>9</v>
      </c>
      <c r="B118" s="55" t="s">
        <v>24</v>
      </c>
      <c r="C118" s="55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42"/>
      <c r="R118" s="42"/>
    </row>
    <row r="119" spans="1:20" x14ac:dyDescent="0.25">
      <c r="B119" s="36" t="s">
        <v>1</v>
      </c>
      <c r="C119" s="43">
        <v>2021</v>
      </c>
      <c r="D119" s="43">
        <v>2022</v>
      </c>
      <c r="E119" s="43" t="s">
        <v>2</v>
      </c>
      <c r="F119" s="43">
        <v>2024</v>
      </c>
      <c r="G119" s="43">
        <v>2025</v>
      </c>
      <c r="H119" s="43">
        <v>2026</v>
      </c>
      <c r="I119" s="43">
        <v>2027</v>
      </c>
      <c r="J119" s="43">
        <v>2028</v>
      </c>
      <c r="K119" s="43">
        <v>2029</v>
      </c>
      <c r="L119" s="43">
        <v>2030</v>
      </c>
      <c r="M119" s="43">
        <v>2031</v>
      </c>
      <c r="N119" s="43">
        <v>2032</v>
      </c>
      <c r="O119" s="44">
        <v>2033</v>
      </c>
      <c r="P119" s="44">
        <v>2034</v>
      </c>
      <c r="Q119" s="44">
        <v>2035</v>
      </c>
      <c r="R119" s="44">
        <v>2036</v>
      </c>
    </row>
    <row r="120" spans="1:20" x14ac:dyDescent="0.25">
      <c r="B120" s="36" t="s">
        <v>3</v>
      </c>
      <c r="C120" s="4">
        <v>1170</v>
      </c>
      <c r="D120" s="4">
        <v>1098</v>
      </c>
      <c r="E120" s="6">
        <v>1120</v>
      </c>
      <c r="F120" s="6">
        <v>1505.5</v>
      </c>
      <c r="G120" s="6">
        <v>1690.56</v>
      </c>
      <c r="H120" s="6">
        <v>1803.62</v>
      </c>
      <c r="I120" s="6">
        <v>1889.4399999999998</v>
      </c>
      <c r="J120" s="6">
        <v>1970.6399999999999</v>
      </c>
      <c r="K120" s="6">
        <v>2042.6</v>
      </c>
      <c r="L120" s="6">
        <v>2109.94</v>
      </c>
      <c r="M120" s="6">
        <v>2177.2800000000002</v>
      </c>
      <c r="N120" s="6">
        <v>2229.38</v>
      </c>
      <c r="O120" s="6">
        <v>2258</v>
      </c>
      <c r="P120" s="6">
        <v>2282</v>
      </c>
      <c r="Q120" s="6">
        <v>2282</v>
      </c>
      <c r="R120" s="6">
        <v>2282</v>
      </c>
    </row>
    <row r="121" spans="1:20" ht="26.4" x14ac:dyDescent="0.25">
      <c r="B121" s="36" t="s">
        <v>4</v>
      </c>
      <c r="C121" s="6">
        <f t="shared" ref="C121:I121" si="130">C120*C122/100</f>
        <v>994.5</v>
      </c>
      <c r="D121" s="6">
        <f t="shared" si="130"/>
        <v>922.32</v>
      </c>
      <c r="E121" s="6">
        <f t="shared" si="130"/>
        <v>921.76</v>
      </c>
      <c r="F121" s="6">
        <f t="shared" si="130"/>
        <v>1272.1475</v>
      </c>
      <c r="G121" s="6">
        <f t="shared" si="130"/>
        <v>1457.2627199999999</v>
      </c>
      <c r="H121" s="6">
        <f t="shared" si="130"/>
        <v>1569.1494</v>
      </c>
      <c r="I121" s="6">
        <f t="shared" si="130"/>
        <v>1655.1494399999999</v>
      </c>
      <c r="J121" s="6">
        <f t="shared" ref="J121" si="131">J120*J122/100</f>
        <v>1736.13384</v>
      </c>
      <c r="K121" s="6">
        <f t="shared" ref="K121" si="132">K120*K122/100</f>
        <v>1807.701</v>
      </c>
      <c r="L121" s="6">
        <f t="shared" ref="L121" si="133">L120*L122/100</f>
        <v>1875.7366600000003</v>
      </c>
      <c r="M121" s="6">
        <f t="shared" ref="M121" si="134">M120*M122/100</f>
        <v>1944.3110400000003</v>
      </c>
      <c r="N121" s="6">
        <f t="shared" ref="N121" si="135">N120*N122/100</f>
        <v>1995.2951</v>
      </c>
      <c r="O121" s="6">
        <f t="shared" ref="O121" si="136">O120*O122/100</f>
        <v>2023.1679999999999</v>
      </c>
      <c r="P121" s="6">
        <f t="shared" ref="P121" si="137">P120*P122/100</f>
        <v>2046.954</v>
      </c>
      <c r="Q121" s="6">
        <f t="shared" ref="Q121" si="138">Q120*Q122/100</f>
        <v>2046.954</v>
      </c>
      <c r="R121" s="6">
        <f t="shared" ref="R121" si="139">R120*R122/100</f>
        <v>2046.954</v>
      </c>
    </row>
    <row r="122" spans="1:20" x14ac:dyDescent="0.25">
      <c r="B122" s="36" t="s">
        <v>5</v>
      </c>
      <c r="C122" s="6">
        <v>85</v>
      </c>
      <c r="D122" s="6">
        <v>84</v>
      </c>
      <c r="E122" s="6">
        <v>82.3</v>
      </c>
      <c r="F122" s="6">
        <v>84.5</v>
      </c>
      <c r="G122" s="6">
        <v>86.2</v>
      </c>
      <c r="H122" s="6">
        <v>87</v>
      </c>
      <c r="I122" s="6">
        <v>87.6</v>
      </c>
      <c r="J122" s="6">
        <v>88.1</v>
      </c>
      <c r="K122" s="6">
        <v>88.5</v>
      </c>
      <c r="L122" s="6">
        <v>88.9</v>
      </c>
      <c r="M122" s="6">
        <v>89.3</v>
      </c>
      <c r="N122" s="6">
        <v>89.5</v>
      </c>
      <c r="O122" s="6">
        <v>89.6</v>
      </c>
      <c r="P122" s="6">
        <v>89.7</v>
      </c>
      <c r="Q122" s="6">
        <v>89.7</v>
      </c>
      <c r="R122" s="6">
        <v>89.7</v>
      </c>
    </row>
    <row r="123" spans="1:20" x14ac:dyDescent="0.25">
      <c r="B123" s="36" t="s">
        <v>6</v>
      </c>
      <c r="C123" s="3">
        <f>C127/C121*1000</f>
        <v>119.13193798769947</v>
      </c>
      <c r="D123" s="3">
        <f>D127/D121*1000</f>
        <v>129.80666977972166</v>
      </c>
      <c r="E123" s="3">
        <f>E127/E121*1000</f>
        <v>134.32146621260696</v>
      </c>
      <c r="F123" s="3">
        <f t="shared" ref="F123:O123" si="140">+E123-0.45</f>
        <v>133.87146621260698</v>
      </c>
      <c r="G123" s="3">
        <f t="shared" si="140"/>
        <v>133.42146621260699</v>
      </c>
      <c r="H123" s="3">
        <f t="shared" si="140"/>
        <v>132.971466212607</v>
      </c>
      <c r="I123" s="3">
        <f t="shared" si="140"/>
        <v>132.52146621260701</v>
      </c>
      <c r="J123" s="3">
        <f t="shared" si="140"/>
        <v>132.07146621260702</v>
      </c>
      <c r="K123" s="3">
        <f t="shared" si="140"/>
        <v>131.62146621260703</v>
      </c>
      <c r="L123" s="3">
        <f t="shared" si="140"/>
        <v>131.17146621260704</v>
      </c>
      <c r="M123" s="3">
        <f t="shared" si="140"/>
        <v>130.72146621260706</v>
      </c>
      <c r="N123" s="3">
        <f t="shared" si="140"/>
        <v>130.27146621260707</v>
      </c>
      <c r="O123" s="3">
        <f t="shared" si="140"/>
        <v>129.82146621260708</v>
      </c>
      <c r="P123" s="3">
        <v>130</v>
      </c>
      <c r="Q123" s="3">
        <v>130</v>
      </c>
      <c r="R123" s="3">
        <v>130</v>
      </c>
    </row>
    <row r="124" spans="1:20" x14ac:dyDescent="0.25">
      <c r="B124" s="36" t="s">
        <v>7</v>
      </c>
      <c r="C124" s="10">
        <f>+C126+C128</f>
        <v>53713</v>
      </c>
      <c r="D124" s="10">
        <f>+D126+D128</f>
        <v>54202</v>
      </c>
      <c r="E124" s="10">
        <f t="shared" ref="E124" si="141">+E126+E128</f>
        <v>55963.977900552483</v>
      </c>
      <c r="F124" s="10">
        <f t="shared" ref="F124:R124" si="142">+F126+F128</f>
        <v>74775.355889315077</v>
      </c>
      <c r="G124" s="10">
        <f t="shared" si="142"/>
        <v>83741.996997170689</v>
      </c>
      <c r="H124" s="10">
        <f t="shared" si="142"/>
        <v>92583.015194990876</v>
      </c>
      <c r="I124" s="10">
        <f t="shared" si="142"/>
        <v>94660.133165268024</v>
      </c>
      <c r="J124" s="10">
        <f t="shared" si="142"/>
        <v>98561.509495185281</v>
      </c>
      <c r="K124" s="10">
        <f t="shared" si="142"/>
        <v>101683.20573040251</v>
      </c>
      <c r="L124" s="10">
        <f t="shared" si="142"/>
        <v>104651.78481906345</v>
      </c>
      <c r="M124" s="10">
        <f t="shared" si="142"/>
        <v>107623.72751151017</v>
      </c>
      <c r="N124" s="10">
        <f t="shared" si="142"/>
        <v>109774.38666260194</v>
      </c>
      <c r="O124" s="10">
        <f t="shared" si="142"/>
        <v>110467.48219636617</v>
      </c>
      <c r="P124" s="10">
        <f t="shared" si="142"/>
        <v>111727.9673</v>
      </c>
      <c r="Q124" s="10">
        <f t="shared" si="142"/>
        <v>120852.9673</v>
      </c>
      <c r="R124" s="10">
        <f t="shared" si="142"/>
        <v>130334.07132</v>
      </c>
    </row>
    <row r="125" spans="1:20" x14ac:dyDescent="0.25">
      <c r="B125" s="36" t="s">
        <v>8</v>
      </c>
      <c r="C125" s="6">
        <f t="shared" ref="C125:H125" si="143">C127+C129</f>
        <v>147.15890410958903</v>
      </c>
      <c r="D125" s="6">
        <f t="shared" si="143"/>
        <v>148.49863013698632</v>
      </c>
      <c r="E125" s="6">
        <f>E124/365</f>
        <v>153.32596685082873</v>
      </c>
      <c r="F125" s="24">
        <f>+F127+F129</f>
        <v>204.30425106370242</v>
      </c>
      <c r="G125" s="6">
        <f t="shared" si="143"/>
        <v>229.43012875937177</v>
      </c>
      <c r="H125" s="6">
        <f t="shared" si="143"/>
        <v>253.65209642463253</v>
      </c>
      <c r="I125" s="6">
        <f t="shared" ref="I125:R125" si="144">+I127+I129+I130</f>
        <v>259.34283058977542</v>
      </c>
      <c r="J125" s="6">
        <f t="shared" si="144"/>
        <v>269.2937417901237</v>
      </c>
      <c r="K125" s="6">
        <f t="shared" si="144"/>
        <v>277.93225609399593</v>
      </c>
      <c r="L125" s="6">
        <f t="shared" si="144"/>
        <v>286.04312792093845</v>
      </c>
      <c r="M125" s="6">
        <f t="shared" si="144"/>
        <v>294.16318992215895</v>
      </c>
      <c r="N125" s="6">
        <f t="shared" si="144"/>
        <v>299.93001820383046</v>
      </c>
      <c r="O125" s="6">
        <f t="shared" si="144"/>
        <v>302.65063615442784</v>
      </c>
      <c r="P125" s="6">
        <f t="shared" si="144"/>
        <v>331.10401999999999</v>
      </c>
      <c r="Q125" s="6">
        <f t="shared" si="144"/>
        <v>356.10401999999999</v>
      </c>
      <c r="R125" s="6">
        <f t="shared" si="144"/>
        <v>381.10401999999999</v>
      </c>
    </row>
    <row r="126" spans="1:20" x14ac:dyDescent="0.25">
      <c r="B126" s="36" t="s">
        <v>9</v>
      </c>
      <c r="C126" s="6">
        <v>43244</v>
      </c>
      <c r="D126" s="6">
        <v>43699</v>
      </c>
      <c r="E126" s="6">
        <f>22410/181*365</f>
        <v>45191.436464088394</v>
      </c>
      <c r="F126" s="6">
        <f>F127*366</f>
        <v>62331.355889315084</v>
      </c>
      <c r="G126" s="6">
        <f t="shared" ref="G126:Q126" si="145">G127*365</f>
        <v>70966.996997170689</v>
      </c>
      <c r="H126" s="6">
        <f t="shared" si="145"/>
        <v>76158.015194990876</v>
      </c>
      <c r="I126" s="6">
        <f t="shared" si="145"/>
        <v>80060.133165268024</v>
      </c>
      <c r="J126" s="6">
        <f>J127*366</f>
        <v>83921.509495185281</v>
      </c>
      <c r="K126" s="6">
        <f t="shared" ref="K126" si="146">K127*366</f>
        <v>87083.205730402507</v>
      </c>
      <c r="L126" s="6">
        <f t="shared" ref="L126" si="147">L127*366</f>
        <v>90051.784819063454</v>
      </c>
      <c r="M126" s="6">
        <f t="shared" ref="M126" si="148">M127*366</f>
        <v>93023.727511510166</v>
      </c>
      <c r="N126" s="6">
        <f t="shared" ref="N126" si="149">N127*366</f>
        <v>95134.386662601944</v>
      </c>
      <c r="O126" s="6">
        <f t="shared" si="145"/>
        <v>95867.482196366167</v>
      </c>
      <c r="P126" s="6">
        <f t="shared" si="145"/>
        <v>97127.967300000004</v>
      </c>
      <c r="Q126" s="6">
        <f t="shared" si="145"/>
        <v>97127.967300000004</v>
      </c>
      <c r="R126" s="6">
        <f>R127*366</f>
        <v>97394.071320000003</v>
      </c>
    </row>
    <row r="127" spans="1:20" x14ac:dyDescent="0.25">
      <c r="B127" s="36" t="s">
        <v>10</v>
      </c>
      <c r="C127" s="13">
        <f>C126/365</f>
        <v>118.47671232876712</v>
      </c>
      <c r="D127" s="13">
        <f>D126/365</f>
        <v>119.72328767123288</v>
      </c>
      <c r="E127" s="6">
        <f>E126/365</f>
        <v>123.81215469613258</v>
      </c>
      <c r="F127" s="6">
        <f>F121*F123/1000</f>
        <v>170.30425106370242</v>
      </c>
      <c r="G127" s="6">
        <f>G121*G123/1000</f>
        <v>194.43012875937177</v>
      </c>
      <c r="H127" s="6">
        <f>H121*H123/1000</f>
        <v>208.65209642463253</v>
      </c>
      <c r="I127" s="6">
        <f>I121*I123/1000</f>
        <v>219.34283058977542</v>
      </c>
      <c r="J127" s="6">
        <f t="shared" ref="J127:R127" si="150">J121*J123/1000</f>
        <v>229.2937417901237</v>
      </c>
      <c r="K127" s="6">
        <f t="shared" si="150"/>
        <v>237.93225609399593</v>
      </c>
      <c r="L127" s="6">
        <f t="shared" si="150"/>
        <v>246.04312792093842</v>
      </c>
      <c r="M127" s="6">
        <f t="shared" si="150"/>
        <v>254.16318992215892</v>
      </c>
      <c r="N127" s="6">
        <f t="shared" si="150"/>
        <v>259.93001820383046</v>
      </c>
      <c r="O127" s="6">
        <f t="shared" si="150"/>
        <v>262.65063615442784</v>
      </c>
      <c r="P127" s="6">
        <f t="shared" si="150"/>
        <v>266.10401999999999</v>
      </c>
      <c r="Q127" s="6">
        <f t="shared" si="150"/>
        <v>266.10401999999999</v>
      </c>
      <c r="R127" s="6">
        <f t="shared" si="150"/>
        <v>266.10401999999999</v>
      </c>
      <c r="S127" s="29"/>
    </row>
    <row r="128" spans="1:20" x14ac:dyDescent="0.25">
      <c r="B128" s="36" t="s">
        <v>11</v>
      </c>
      <c r="C128" s="13">
        <v>10469</v>
      </c>
      <c r="D128" s="13">
        <v>10503</v>
      </c>
      <c r="E128" s="6">
        <f>5342/181*365</f>
        <v>10772.541436464089</v>
      </c>
      <c r="F128" s="6">
        <f>F129*366</f>
        <v>12444</v>
      </c>
      <c r="G128" s="6">
        <f t="shared" ref="G128:Q128" si="151">G129*365</f>
        <v>12775</v>
      </c>
      <c r="H128" s="6">
        <f t="shared" si="151"/>
        <v>16425</v>
      </c>
      <c r="I128" s="6">
        <f t="shared" si="151"/>
        <v>14600</v>
      </c>
      <c r="J128" s="6">
        <f>J129*366</f>
        <v>14640</v>
      </c>
      <c r="K128" s="6">
        <f t="shared" si="151"/>
        <v>14600</v>
      </c>
      <c r="L128" s="6">
        <f t="shared" si="151"/>
        <v>14600</v>
      </c>
      <c r="M128" s="6">
        <f t="shared" si="151"/>
        <v>14600</v>
      </c>
      <c r="N128" s="6">
        <f t="shared" ref="N128" si="152">N129*366</f>
        <v>14640</v>
      </c>
      <c r="O128" s="6">
        <f t="shared" si="151"/>
        <v>14600</v>
      </c>
      <c r="P128" s="6">
        <f t="shared" si="151"/>
        <v>14600</v>
      </c>
      <c r="Q128" s="6">
        <f t="shared" si="151"/>
        <v>23725</v>
      </c>
      <c r="R128" s="6">
        <f>R129*366</f>
        <v>32940</v>
      </c>
    </row>
    <row r="129" spans="1:20" x14ac:dyDescent="0.25">
      <c r="B129" s="36" t="s">
        <v>12</v>
      </c>
      <c r="C129" s="39">
        <f>C128/365</f>
        <v>28.682191780821917</v>
      </c>
      <c r="D129" s="39">
        <f>D128/365</f>
        <v>28.775342465753425</v>
      </c>
      <c r="E129" s="6">
        <f>E128/365</f>
        <v>29.513812154696137</v>
      </c>
      <c r="F129" s="6">
        <v>34</v>
      </c>
      <c r="G129" s="6">
        <v>35</v>
      </c>
      <c r="H129" s="6">
        <v>45</v>
      </c>
      <c r="I129" s="6">
        <v>40</v>
      </c>
      <c r="J129" s="6">
        <v>40</v>
      </c>
      <c r="K129" s="6">
        <v>40</v>
      </c>
      <c r="L129" s="6">
        <v>40</v>
      </c>
      <c r="M129" s="6">
        <v>40</v>
      </c>
      <c r="N129" s="6">
        <v>40</v>
      </c>
      <c r="O129" s="6">
        <v>40</v>
      </c>
      <c r="P129" s="6">
        <v>40</v>
      </c>
      <c r="Q129" s="6">
        <v>65</v>
      </c>
      <c r="R129" s="6">
        <v>90</v>
      </c>
      <c r="T129" s="35"/>
    </row>
    <row r="130" spans="1:20" ht="26.4" x14ac:dyDescent="0.25">
      <c r="B130" s="4" t="s">
        <v>13</v>
      </c>
      <c r="C130" s="6"/>
      <c r="D130" s="6"/>
      <c r="E130" s="6"/>
      <c r="F130" s="6"/>
      <c r="G130" s="6"/>
      <c r="H130" s="6"/>
      <c r="I130" s="6"/>
      <c r="J130" s="13"/>
      <c r="K130" s="13"/>
      <c r="L130" s="13"/>
      <c r="M130" s="13"/>
      <c r="N130" s="13"/>
      <c r="O130" s="13"/>
      <c r="P130" s="13">
        <v>25</v>
      </c>
      <c r="Q130" s="13">
        <v>25</v>
      </c>
      <c r="R130" s="13">
        <v>25</v>
      </c>
      <c r="T130" s="35"/>
    </row>
    <row r="131" spans="1:20" x14ac:dyDescent="0.25"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8"/>
      <c r="R131" s="48"/>
    </row>
    <row r="133" spans="1:20" ht="13.5" customHeight="1" x14ac:dyDescent="0.3">
      <c r="A133" s="46">
        <v>10</v>
      </c>
      <c r="B133" s="53" t="s">
        <v>25</v>
      </c>
      <c r="C133" s="53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</row>
    <row r="134" spans="1:20" x14ac:dyDescent="0.25">
      <c r="B134" s="2" t="s">
        <v>1</v>
      </c>
      <c r="C134" s="18">
        <v>2021</v>
      </c>
      <c r="D134" s="18">
        <v>2022</v>
      </c>
      <c r="E134" s="18" t="s">
        <v>2</v>
      </c>
      <c r="F134" s="18">
        <v>2024</v>
      </c>
      <c r="G134" s="18">
        <v>2025</v>
      </c>
      <c r="H134" s="18">
        <v>2026</v>
      </c>
      <c r="I134" s="18">
        <v>2027</v>
      </c>
      <c r="J134" s="18">
        <v>2028</v>
      </c>
      <c r="K134" s="18">
        <v>2029</v>
      </c>
      <c r="L134" s="18">
        <v>2030</v>
      </c>
      <c r="M134" s="18">
        <v>2031</v>
      </c>
      <c r="N134" s="18">
        <v>2032</v>
      </c>
      <c r="O134" s="19">
        <v>2033</v>
      </c>
      <c r="P134" s="19">
        <v>2034</v>
      </c>
      <c r="Q134" s="19">
        <v>2035</v>
      </c>
      <c r="R134" s="19">
        <v>2036</v>
      </c>
    </row>
    <row r="135" spans="1:20" x14ac:dyDescent="0.25">
      <c r="B135" s="4" t="s">
        <v>3</v>
      </c>
      <c r="C135" s="4">
        <v>1793</v>
      </c>
      <c r="D135" s="4">
        <v>1987</v>
      </c>
      <c r="E135" s="6">
        <v>1856.4199999999996</v>
      </c>
      <c r="F135" s="6">
        <v>1893.7399999999993</v>
      </c>
      <c r="G135" s="6">
        <v>1944.1099999999992</v>
      </c>
      <c r="H135" s="6">
        <v>1981.4299999999989</v>
      </c>
      <c r="I135" s="6">
        <v>2018.7499999999986</v>
      </c>
      <c r="J135" s="6">
        <v>2042.7799999999986</v>
      </c>
      <c r="K135" s="6">
        <v>2063.9599999999987</v>
      </c>
      <c r="L135" s="6">
        <v>2083.4299999999985</v>
      </c>
      <c r="M135" s="6">
        <v>2098.5799999999986</v>
      </c>
      <c r="N135" s="6">
        <v>2113.7299999999987</v>
      </c>
      <c r="O135" s="6">
        <v>2126.7799999999988</v>
      </c>
      <c r="P135" s="6">
        <v>2131.9999999999986</v>
      </c>
      <c r="Q135" s="6">
        <v>2131.9999999999986</v>
      </c>
      <c r="R135" s="6">
        <v>2131.9999999999986</v>
      </c>
    </row>
    <row r="136" spans="1:20" ht="26.4" x14ac:dyDescent="0.25">
      <c r="B136" s="4" t="s">
        <v>4</v>
      </c>
      <c r="C136" s="6">
        <f>C135*C137/100</f>
        <v>1775.07</v>
      </c>
      <c r="D136" s="6">
        <f>D135*D137/100</f>
        <v>1967.13</v>
      </c>
      <c r="E136" s="6">
        <f t="shared" ref="E136" si="153">E135*E137/100</f>
        <v>1837.8557999999996</v>
      </c>
      <c r="F136" s="6">
        <f t="shared" ref="F136" si="154">F135*F137/100</f>
        <v>1876.6963399999993</v>
      </c>
      <c r="G136" s="6">
        <f t="shared" ref="G136" si="155">G135*G137/100</f>
        <v>1926.6130099999991</v>
      </c>
      <c r="H136" s="6">
        <f t="shared" ref="H136" si="156">H135*H137/100</f>
        <v>1963.5971299999987</v>
      </c>
      <c r="I136" s="6">
        <f t="shared" ref="I136" si="157">I135*I137/100</f>
        <v>2000.5812499999986</v>
      </c>
      <c r="J136" s="6">
        <f t="shared" ref="J136" si="158">J135*J137/100</f>
        <v>2024.3949799999984</v>
      </c>
      <c r="K136" s="6">
        <f t="shared" ref="K136" si="159">K135*K137/100</f>
        <v>2045.3843599999987</v>
      </c>
      <c r="L136" s="6">
        <f t="shared" ref="L136" si="160">L135*L137/100</f>
        <v>2064.6791299999982</v>
      </c>
      <c r="M136" s="6">
        <f t="shared" ref="M136" si="161">M135*M137/100</f>
        <v>2079.6927799999985</v>
      </c>
      <c r="N136" s="6">
        <f t="shared" ref="N136" si="162">N135*N137/100</f>
        <v>2096.8201599999989</v>
      </c>
      <c r="O136" s="6">
        <f t="shared" ref="O136" si="163">O135*O137/100</f>
        <v>2109.7657599999989</v>
      </c>
      <c r="P136" s="6">
        <f t="shared" ref="P136" si="164">P135*P137/100</f>
        <v>2114.9439999999986</v>
      </c>
      <c r="Q136" s="6">
        <f t="shared" ref="Q136" si="165">Q135*Q137/100</f>
        <v>2114.9439999999986</v>
      </c>
      <c r="R136" s="6">
        <f t="shared" ref="R136" si="166">R135*R137/100</f>
        <v>2114.9439999999986</v>
      </c>
    </row>
    <row r="137" spans="1:20" x14ac:dyDescent="0.25">
      <c r="B137" s="4" t="s">
        <v>5</v>
      </c>
      <c r="C137" s="6">
        <v>99</v>
      </c>
      <c r="D137" s="6">
        <v>99</v>
      </c>
      <c r="E137" s="6">
        <v>99</v>
      </c>
      <c r="F137" s="6">
        <v>99.1</v>
      </c>
      <c r="G137" s="6">
        <v>99.1</v>
      </c>
      <c r="H137" s="6">
        <v>99.1</v>
      </c>
      <c r="I137" s="6">
        <v>99.1</v>
      </c>
      <c r="J137" s="6">
        <v>99.1</v>
      </c>
      <c r="K137" s="6">
        <v>99.1</v>
      </c>
      <c r="L137" s="6">
        <v>99.1</v>
      </c>
      <c r="M137" s="6">
        <v>99.1</v>
      </c>
      <c r="N137" s="6">
        <v>99.2</v>
      </c>
      <c r="O137" s="6">
        <v>99.2</v>
      </c>
      <c r="P137" s="6">
        <v>99.2</v>
      </c>
      <c r="Q137" s="6">
        <v>99.2</v>
      </c>
      <c r="R137" s="6">
        <v>99.2</v>
      </c>
    </row>
    <row r="138" spans="1:20" x14ac:dyDescent="0.25">
      <c r="B138" s="4" t="s">
        <v>6</v>
      </c>
      <c r="C138" s="3">
        <f>C142/C136*1000</f>
        <v>123.53284774955046</v>
      </c>
      <c r="D138" s="3">
        <f>D142/D136*1000</f>
        <v>105.11384745274894</v>
      </c>
      <c r="E138" s="3">
        <f>E142/E136*1000</f>
        <v>118.73072128476089</v>
      </c>
      <c r="F138" s="3">
        <f>+E138+0.9</f>
        <v>119.6307212847609</v>
      </c>
      <c r="G138" s="3">
        <f t="shared" ref="G138:P138" si="167">+F138+0.9</f>
        <v>120.5307212847609</v>
      </c>
      <c r="H138" s="3">
        <f t="shared" si="167"/>
        <v>121.43072128476091</v>
      </c>
      <c r="I138" s="3">
        <f t="shared" si="167"/>
        <v>122.33072128476091</v>
      </c>
      <c r="J138" s="3">
        <f t="shared" si="167"/>
        <v>123.23072128476092</v>
      </c>
      <c r="K138" s="3">
        <f t="shared" si="167"/>
        <v>124.13072128476092</v>
      </c>
      <c r="L138" s="3">
        <f t="shared" si="167"/>
        <v>125.03072128476093</v>
      </c>
      <c r="M138" s="3">
        <f t="shared" si="167"/>
        <v>125.93072128476093</v>
      </c>
      <c r="N138" s="3">
        <f t="shared" si="167"/>
        <v>126.83072128476094</v>
      </c>
      <c r="O138" s="3">
        <f t="shared" si="167"/>
        <v>127.73072128476095</v>
      </c>
      <c r="P138" s="3">
        <f t="shared" si="167"/>
        <v>128.63072128476094</v>
      </c>
      <c r="Q138" s="3">
        <v>129</v>
      </c>
      <c r="R138" s="3">
        <v>130</v>
      </c>
    </row>
    <row r="139" spans="1:20" x14ac:dyDescent="0.25">
      <c r="B139" s="4" t="s">
        <v>7</v>
      </c>
      <c r="C139" s="10">
        <f>+C141+C143</f>
        <v>81022.3</v>
      </c>
      <c r="D139" s="10">
        <f>+D141+D143</f>
        <v>76548.899999999994</v>
      </c>
      <c r="E139" s="10">
        <f t="shared" ref="E139" si="168">+E141+E143</f>
        <v>80838.425414364639</v>
      </c>
      <c r="F139" s="10">
        <f t="shared" ref="F139:R139" si="169">+F141+F143</f>
        <v>83509.707386945345</v>
      </c>
      <c r="G139" s="10">
        <f t="shared" si="169"/>
        <v>86216.737460834251</v>
      </c>
      <c r="H139" s="10">
        <f t="shared" si="169"/>
        <v>88855.970770133979</v>
      </c>
      <c r="I139" s="10">
        <f t="shared" si="169"/>
        <v>91290.009897335214</v>
      </c>
      <c r="J139" s="10">
        <f t="shared" si="169"/>
        <v>93412.786561116212</v>
      </c>
      <c r="K139" s="10">
        <f t="shared" si="169"/>
        <v>95160.990555508266</v>
      </c>
      <c r="L139" s="10">
        <f t="shared" si="169"/>
        <v>97097.292841397459</v>
      </c>
      <c r="M139" s="10">
        <f t="shared" si="169"/>
        <v>98848.986943963304</v>
      </c>
      <c r="N139" s="10">
        <f t="shared" si="169"/>
        <v>100717.93588260091</v>
      </c>
      <c r="O139" s="10">
        <f t="shared" si="169"/>
        <v>102114.70173928971</v>
      </c>
      <c r="P139" s="10">
        <f t="shared" si="169"/>
        <v>103430.47926380743</v>
      </c>
      <c r="Q139" s="10">
        <f t="shared" si="169"/>
        <v>104095.14565194717</v>
      </c>
      <c r="R139" s="10">
        <f t="shared" si="169"/>
        <v>105535.0473358155</v>
      </c>
    </row>
    <row r="140" spans="1:20" x14ac:dyDescent="0.25">
      <c r="B140" s="4" t="s">
        <v>8</v>
      </c>
      <c r="C140" s="6">
        <f t="shared" ref="C140:H140" si="170">C142+C144</f>
        <v>221.97890410958905</v>
      </c>
      <c r="D140" s="6">
        <f t="shared" si="170"/>
        <v>209.72301369863015</v>
      </c>
      <c r="E140" s="6">
        <f>E139/365</f>
        <v>221.47513812154696</v>
      </c>
      <c r="F140" s="24">
        <f>+F142+F144</f>
        <v>228.16859941788346</v>
      </c>
      <c r="G140" s="6">
        <f t="shared" si="170"/>
        <v>236.21023961872396</v>
      </c>
      <c r="H140" s="6">
        <f t="shared" si="170"/>
        <v>243.44101580858626</v>
      </c>
      <c r="I140" s="6">
        <f t="shared" ref="I140:R140" si="171">+I142+I144+I145</f>
        <v>250.10961615708277</v>
      </c>
      <c r="J140" s="6">
        <f t="shared" si="171"/>
        <v>255.22619278993497</v>
      </c>
      <c r="K140" s="6">
        <f t="shared" si="171"/>
        <v>260.01943977971752</v>
      </c>
      <c r="L140" s="6">
        <f t="shared" si="171"/>
        <v>265.31272471384102</v>
      </c>
      <c r="M140" s="6">
        <f t="shared" si="171"/>
        <v>270.10161570445803</v>
      </c>
      <c r="N140" s="6">
        <f t="shared" si="171"/>
        <v>275.18561716557628</v>
      </c>
      <c r="O140" s="6">
        <f t="shared" si="171"/>
        <v>279.76630613504034</v>
      </c>
      <c r="P140" s="6">
        <f t="shared" si="171"/>
        <v>283.37117606522582</v>
      </c>
      <c r="Q140" s="6">
        <f t="shared" si="171"/>
        <v>285.19217986834843</v>
      </c>
      <c r="R140" s="6">
        <f t="shared" si="171"/>
        <v>288.34712386834838</v>
      </c>
    </row>
    <row r="141" spans="1:20" x14ac:dyDescent="0.25">
      <c r="B141" s="4" t="s">
        <v>9</v>
      </c>
      <c r="C141" s="6">
        <v>80037</v>
      </c>
      <c r="D141" s="6">
        <v>75472</v>
      </c>
      <c r="E141" s="6">
        <f>39496/181*365</f>
        <v>79646.629834254141</v>
      </c>
      <c r="F141" s="6">
        <f>F142*366</f>
        <v>82170.856463921518</v>
      </c>
      <c r="G141" s="6">
        <f t="shared" ref="G141:Q141" si="172">G142*365</f>
        <v>84758.860342145024</v>
      </c>
      <c r="H141" s="6">
        <f t="shared" si="172"/>
        <v>87030.970770133979</v>
      </c>
      <c r="I141" s="6">
        <f t="shared" si="172"/>
        <v>89327.379764962971</v>
      </c>
      <c r="J141" s="6">
        <f>J142*366</f>
        <v>91305.161199537528</v>
      </c>
      <c r="K141" s="6">
        <f>K142*366</f>
        <v>92925.583143561031</v>
      </c>
      <c r="L141" s="6">
        <f t="shared" ref="L141" si="173">L142*366</f>
        <v>94482.285429450232</v>
      </c>
      <c r="M141" s="6">
        <f t="shared" ref="M141" si="174">M142*366</f>
        <v>95854.379532016072</v>
      </c>
      <c r="N141" s="6">
        <f t="shared" ref="N141" si="175">N142*366</f>
        <v>97334.484066785342</v>
      </c>
      <c r="O141" s="6">
        <f t="shared" si="172"/>
        <v>98360.894327342481</v>
      </c>
      <c r="P141" s="6">
        <f t="shared" si="172"/>
        <v>99297.071851860208</v>
      </c>
      <c r="Q141" s="6">
        <f t="shared" si="172"/>
        <v>99582.138239999942</v>
      </c>
      <c r="R141" s="6">
        <f>R142*366</f>
        <v>100629.03551999992</v>
      </c>
    </row>
    <row r="142" spans="1:20" x14ac:dyDescent="0.25">
      <c r="B142" s="4" t="s">
        <v>10</v>
      </c>
      <c r="C142" s="13">
        <f>C141/365</f>
        <v>219.27945205479452</v>
      </c>
      <c r="D142" s="13">
        <f>D141/365</f>
        <v>206.77260273972604</v>
      </c>
      <c r="E142" s="6">
        <f>E141/365</f>
        <v>218.20994475138122</v>
      </c>
      <c r="F142" s="6">
        <f t="shared" ref="F142:R142" si="176">F136*F138/1000</f>
        <v>224.5105367866708</v>
      </c>
      <c r="G142" s="6">
        <f t="shared" si="176"/>
        <v>232.21605573190416</v>
      </c>
      <c r="H142" s="6">
        <f t="shared" si="176"/>
        <v>238.44101580858626</v>
      </c>
      <c r="I142" s="6">
        <f t="shared" si="176"/>
        <v>244.7325473012684</v>
      </c>
      <c r="J142" s="6">
        <f t="shared" si="176"/>
        <v>249.46765355064898</v>
      </c>
      <c r="K142" s="6">
        <f t="shared" si="176"/>
        <v>253.89503591136892</v>
      </c>
      <c r="L142" s="6">
        <f t="shared" si="176"/>
        <v>258.14832084549244</v>
      </c>
      <c r="M142" s="6">
        <f t="shared" si="176"/>
        <v>261.89721183610948</v>
      </c>
      <c r="N142" s="6">
        <f t="shared" si="176"/>
        <v>265.9412132972277</v>
      </c>
      <c r="O142" s="6">
        <f t="shared" si="176"/>
        <v>269.48190226669175</v>
      </c>
      <c r="P142" s="6">
        <f t="shared" si="176"/>
        <v>272.04677219687727</v>
      </c>
      <c r="Q142" s="6">
        <f t="shared" si="176"/>
        <v>272.82777599999986</v>
      </c>
      <c r="R142" s="6">
        <f t="shared" si="176"/>
        <v>274.94271999999978</v>
      </c>
      <c r="S142" s="29"/>
    </row>
    <row r="143" spans="1:20" x14ac:dyDescent="0.25">
      <c r="B143" s="4" t="s">
        <v>11</v>
      </c>
      <c r="C143" s="13">
        <v>985.3</v>
      </c>
      <c r="D143" s="13">
        <v>1076.9000000000001</v>
      </c>
      <c r="E143" s="6">
        <f>591/181*365</f>
        <v>1191.7955801104972</v>
      </c>
      <c r="F143" s="6">
        <f>F144*366</f>
        <v>1338.850923023828</v>
      </c>
      <c r="G143" s="6">
        <f t="shared" ref="G143:Q143" si="177">G144*365</f>
        <v>1457.8771186892288</v>
      </c>
      <c r="H143" s="6">
        <f t="shared" si="177"/>
        <v>1825</v>
      </c>
      <c r="I143" s="6">
        <f t="shared" si="177"/>
        <v>1962.6301323722441</v>
      </c>
      <c r="J143" s="6">
        <f>J144*366</f>
        <v>2107.6253615786777</v>
      </c>
      <c r="K143" s="6">
        <f t="shared" si="177"/>
        <v>2235.4074119472284</v>
      </c>
      <c r="L143" s="6">
        <f t="shared" si="177"/>
        <v>2615.0074119472283</v>
      </c>
      <c r="M143" s="6">
        <f t="shared" si="177"/>
        <v>2994.6074119472282</v>
      </c>
      <c r="N143" s="6">
        <f t="shared" ref="N143" si="178">N144*366</f>
        <v>3383.4518158155765</v>
      </c>
      <c r="O143" s="6">
        <f t="shared" si="177"/>
        <v>3753.8074119472276</v>
      </c>
      <c r="P143" s="6">
        <f t="shared" si="177"/>
        <v>4133.407411947227</v>
      </c>
      <c r="Q143" s="6">
        <f t="shared" si="177"/>
        <v>4513.0074119472274</v>
      </c>
      <c r="R143" s="6">
        <f>R144*366</f>
        <v>4906.0118158155756</v>
      </c>
    </row>
    <row r="144" spans="1:20" x14ac:dyDescent="0.25">
      <c r="B144" s="4" t="s">
        <v>12</v>
      </c>
      <c r="C144" s="39">
        <f>C143/365</f>
        <v>2.6994520547945204</v>
      </c>
      <c r="D144" s="39">
        <f>D143/365</f>
        <v>2.9504109589041096</v>
      </c>
      <c r="E144" s="6">
        <f>E143/365</f>
        <v>3.2651933701657456</v>
      </c>
      <c r="F144" s="6">
        <v>3.658062631212645</v>
      </c>
      <c r="G144" s="6">
        <v>3.9941838868198047</v>
      </c>
      <c r="H144" s="6">
        <v>5</v>
      </c>
      <c r="I144" s="6">
        <v>5.3770688558143673</v>
      </c>
      <c r="J144" s="6">
        <v>5.7585392392860051</v>
      </c>
      <c r="K144" s="6">
        <v>6.1244038683485709</v>
      </c>
      <c r="L144" s="6">
        <f>+K144+1.04</f>
        <v>7.1644038683485709</v>
      </c>
      <c r="M144" s="6">
        <f t="shared" ref="M144:R144" si="179">+L144+1.04</f>
        <v>8.2044038683485709</v>
      </c>
      <c r="N144" s="6">
        <f t="shared" si="179"/>
        <v>9.2444038683485701</v>
      </c>
      <c r="O144" s="6">
        <f t="shared" si="179"/>
        <v>10.284403868348569</v>
      </c>
      <c r="P144" s="6">
        <f t="shared" si="179"/>
        <v>11.324403868348568</v>
      </c>
      <c r="Q144" s="6">
        <f t="shared" si="179"/>
        <v>12.364403868348568</v>
      </c>
      <c r="R144" s="6">
        <f t="shared" si="179"/>
        <v>13.404403868348567</v>
      </c>
      <c r="T144" s="35"/>
    </row>
    <row r="145" spans="1:20" x14ac:dyDescent="0.25">
      <c r="B145" s="9"/>
      <c r="C145" s="9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8"/>
      <c r="R145" s="48"/>
    </row>
    <row r="147" spans="1:20" ht="15.6" x14ac:dyDescent="0.3">
      <c r="A147" s="46">
        <v>11</v>
      </c>
      <c r="B147" s="53" t="s">
        <v>26</v>
      </c>
      <c r="C147" s="53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</row>
    <row r="148" spans="1:20" x14ac:dyDescent="0.25">
      <c r="B148" s="2" t="s">
        <v>1</v>
      </c>
      <c r="C148" s="18">
        <v>2021</v>
      </c>
      <c r="D148" s="18">
        <v>2022</v>
      </c>
      <c r="E148" s="18" t="s">
        <v>2</v>
      </c>
      <c r="F148" s="18">
        <v>2024</v>
      </c>
      <c r="G148" s="18">
        <v>2025</v>
      </c>
      <c r="H148" s="18">
        <v>2026</v>
      </c>
      <c r="I148" s="18">
        <v>2027</v>
      </c>
      <c r="J148" s="18">
        <v>2028</v>
      </c>
      <c r="K148" s="18">
        <v>2029</v>
      </c>
      <c r="L148" s="18">
        <v>2030</v>
      </c>
      <c r="M148" s="18">
        <v>2031</v>
      </c>
      <c r="N148" s="18">
        <v>2032</v>
      </c>
      <c r="O148" s="19">
        <v>2033</v>
      </c>
      <c r="P148" s="19">
        <v>2034</v>
      </c>
      <c r="Q148" s="19">
        <v>2035</v>
      </c>
      <c r="R148" s="19">
        <v>2036</v>
      </c>
    </row>
    <row r="149" spans="1:20" x14ac:dyDescent="0.25">
      <c r="B149" s="4" t="s">
        <v>3</v>
      </c>
      <c r="C149" s="4">
        <v>1316</v>
      </c>
      <c r="D149" s="4">
        <v>1290</v>
      </c>
      <c r="E149" s="6">
        <v>1300</v>
      </c>
      <c r="F149" s="6">
        <v>1408.8799999999997</v>
      </c>
      <c r="G149" s="6">
        <v>1446.1399999999996</v>
      </c>
      <c r="H149" s="6">
        <v>1483.3999999999996</v>
      </c>
      <c r="I149" s="6">
        <v>1520.6599999999996</v>
      </c>
      <c r="J149" s="6">
        <v>1557.9199999999996</v>
      </c>
      <c r="K149" s="6">
        <v>1588.4299999999996</v>
      </c>
      <c r="L149" s="6">
        <v>1617.5899999999995</v>
      </c>
      <c r="M149" s="6">
        <v>1646.7499999999993</v>
      </c>
      <c r="N149" s="6">
        <v>1664.2099999999991</v>
      </c>
      <c r="O149" s="6">
        <v>1680.319999999999</v>
      </c>
      <c r="P149" s="6">
        <v>1682.6599999999989</v>
      </c>
      <c r="Q149" s="6">
        <v>1684.9999999999989</v>
      </c>
      <c r="R149" s="6">
        <v>1684.9999999999989</v>
      </c>
    </row>
    <row r="150" spans="1:20" ht="26.4" x14ac:dyDescent="0.25">
      <c r="B150" s="4" t="s">
        <v>4</v>
      </c>
      <c r="C150" s="6">
        <f>C149*C151/100</f>
        <v>1184.4000000000001</v>
      </c>
      <c r="D150" s="6">
        <f>D149*D151/100</f>
        <v>1161</v>
      </c>
      <c r="E150" s="6">
        <f>E149*E151/100</f>
        <v>1170</v>
      </c>
      <c r="F150" s="6">
        <f t="shared" ref="F150" si="180">F149*F151/100</f>
        <v>1369.4313599999996</v>
      </c>
      <c r="G150" s="6">
        <f t="shared" ref="G150" si="181">G149*G151/100</f>
        <v>1407.0942199999997</v>
      </c>
      <c r="H150" s="6">
        <f t="shared" ref="H150" si="182">H149*H151/100</f>
        <v>1443.3481999999995</v>
      </c>
      <c r="I150" s="6">
        <f t="shared" ref="I150" si="183">I149*I151/100</f>
        <v>1481.1228399999998</v>
      </c>
      <c r="J150" s="6">
        <f t="shared" ref="J150" si="184">J149*J151/100</f>
        <v>1518.9719999999995</v>
      </c>
      <c r="K150" s="6">
        <f t="shared" ref="K150" si="185">K149*K151/100</f>
        <v>1548.7192499999996</v>
      </c>
      <c r="L150" s="6">
        <f t="shared" ref="L150" si="186">L149*L151/100</f>
        <v>1578.7678399999993</v>
      </c>
      <c r="M150" s="6">
        <f t="shared" ref="M150" si="187">M149*M151/100</f>
        <v>1607.2279999999994</v>
      </c>
      <c r="N150" s="6">
        <f t="shared" ref="N150" si="188">N149*N151/100</f>
        <v>1624.268959999999</v>
      </c>
      <c r="O150" s="6">
        <f t="shared" ref="O150" si="189">O149*O151/100</f>
        <v>1641.6726399999991</v>
      </c>
      <c r="P150" s="6">
        <f t="shared" ref="P150" si="190">P149*P151/100</f>
        <v>1643.9588199999989</v>
      </c>
      <c r="Q150" s="6">
        <f t="shared" ref="Q150" si="191">Q149*Q151/100</f>
        <v>1646.2449999999988</v>
      </c>
      <c r="R150" s="6">
        <f t="shared" ref="R150" si="192">R149*R151/100</f>
        <v>1646.2449999999988</v>
      </c>
    </row>
    <row r="151" spans="1:20" x14ac:dyDescent="0.25">
      <c r="B151" s="4" t="s">
        <v>5</v>
      </c>
      <c r="C151" s="6">
        <v>90</v>
      </c>
      <c r="D151" s="6">
        <v>90</v>
      </c>
      <c r="E151" s="6">
        <v>90</v>
      </c>
      <c r="F151" s="6">
        <v>97.2</v>
      </c>
      <c r="G151" s="6">
        <v>97.3</v>
      </c>
      <c r="H151" s="6">
        <v>97.3</v>
      </c>
      <c r="I151" s="6">
        <v>97.4</v>
      </c>
      <c r="J151" s="6">
        <v>97.5</v>
      </c>
      <c r="K151" s="6">
        <v>97.5</v>
      </c>
      <c r="L151" s="6">
        <v>97.6</v>
      </c>
      <c r="M151" s="6">
        <v>97.6</v>
      </c>
      <c r="N151" s="6">
        <v>97.6</v>
      </c>
      <c r="O151" s="6">
        <v>97.7</v>
      </c>
      <c r="P151" s="6">
        <v>97.7</v>
      </c>
      <c r="Q151" s="6">
        <v>97.7</v>
      </c>
      <c r="R151" s="6">
        <v>97.7</v>
      </c>
    </row>
    <row r="152" spans="1:20" x14ac:dyDescent="0.25">
      <c r="B152" s="4" t="s">
        <v>6</v>
      </c>
      <c r="C152" s="3">
        <f>C156/C150*1000</f>
        <v>116.86166743001483</v>
      </c>
      <c r="D152" s="3">
        <f>D156/D150*1000</f>
        <v>113.03198706830437</v>
      </c>
      <c r="E152" s="3">
        <f>E156/E150*1000</f>
        <v>113.42966425839353</v>
      </c>
      <c r="F152" s="3">
        <f>+E152+1.2</f>
        <v>114.62966425839353</v>
      </c>
      <c r="G152" s="3">
        <f t="shared" ref="G152" si="193">+F152+1.2</f>
        <v>115.82966425839354</v>
      </c>
      <c r="H152" s="3">
        <v>114.51692329637105</v>
      </c>
      <c r="I152" s="3">
        <v>115.01538481488276</v>
      </c>
      <c r="J152" s="3">
        <v>115.51384633339448</v>
      </c>
      <c r="K152" s="3">
        <v>116.0123078519062</v>
      </c>
      <c r="L152" s="3">
        <v>116.51076937041792</v>
      </c>
      <c r="M152" s="3">
        <v>117.00923088892964</v>
      </c>
      <c r="N152" s="3">
        <v>117.50769240744135</v>
      </c>
      <c r="O152" s="3">
        <v>118.00615392595307</v>
      </c>
      <c r="P152" s="3">
        <v>118.50461544446479</v>
      </c>
      <c r="Q152" s="3">
        <v>119.00307696297651</v>
      </c>
      <c r="R152" s="3">
        <v>119.50153848148823</v>
      </c>
    </row>
    <row r="153" spans="1:20" x14ac:dyDescent="0.25">
      <c r="B153" s="4" t="s">
        <v>7</v>
      </c>
      <c r="C153" s="10">
        <f>+C155+C157</f>
        <v>74638</v>
      </c>
      <c r="D153" s="10">
        <f>+D155+D157</f>
        <v>74140</v>
      </c>
      <c r="E153" s="10">
        <f t="shared" ref="E153" si="194">+E155+E157</f>
        <v>75518.701657458558</v>
      </c>
      <c r="F153" s="10">
        <f t="shared" ref="F153:R153" si="195">+F155+F157</f>
        <v>84537.749269947759</v>
      </c>
      <c r="G153" s="10">
        <f t="shared" si="195"/>
        <v>86498.886645122024</v>
      </c>
      <c r="H153" s="10">
        <f t="shared" si="195"/>
        <v>87340.045214914629</v>
      </c>
      <c r="I153" s="10">
        <f t="shared" si="195"/>
        <v>89845.448391259881</v>
      </c>
      <c r="J153" s="10">
        <f t="shared" si="195"/>
        <v>92620.801138538751</v>
      </c>
      <c r="K153" s="10">
        <f t="shared" si="195"/>
        <v>94740.400953025412</v>
      </c>
      <c r="L153" s="10">
        <f t="shared" si="195"/>
        <v>96961.304784616237</v>
      </c>
      <c r="M153" s="10">
        <f t="shared" si="195"/>
        <v>99125.14744439382</v>
      </c>
      <c r="N153" s="10">
        <f t="shared" si="195"/>
        <v>100893.05962594022</v>
      </c>
      <c r="O153" s="10">
        <f t="shared" si="195"/>
        <v>102319.52810193095</v>
      </c>
      <c r="P153" s="10">
        <f t="shared" si="195"/>
        <v>103958.09833628213</v>
      </c>
      <c r="Q153" s="10">
        <f t="shared" si="195"/>
        <v>113481.50045874402</v>
      </c>
      <c r="R153" s="10">
        <f t="shared" si="195"/>
        <v>123242.74453958942</v>
      </c>
    </row>
    <row r="154" spans="1:20" x14ac:dyDescent="0.25">
      <c r="B154" s="4" t="s">
        <v>8</v>
      </c>
      <c r="C154" s="6">
        <f t="shared" ref="C154:D154" si="196">C156+C158</f>
        <v>204.48767123287672</v>
      </c>
      <c r="D154" s="6">
        <f t="shared" si="196"/>
        <v>203.1232876712329</v>
      </c>
      <c r="E154" s="6">
        <f>E153/365</f>
        <v>206.90055248618782</v>
      </c>
      <c r="F154" s="24">
        <f>+F156+F158</f>
        <v>230.9774570217152</v>
      </c>
      <c r="G154" s="24">
        <f t="shared" ref="G154:H154" si="197">+G156+G158</f>
        <v>236.9832510825261</v>
      </c>
      <c r="H154" s="24">
        <f t="shared" si="197"/>
        <v>239.28779510935516</v>
      </c>
      <c r="I154" s="6">
        <f t="shared" ref="I154:R154" si="198">+I156+I158+I159</f>
        <v>246.15191340071203</v>
      </c>
      <c r="J154" s="6">
        <f t="shared" si="198"/>
        <v>253.06229819272883</v>
      </c>
      <c r="K154" s="6">
        <f t="shared" si="198"/>
        <v>259.07049440717321</v>
      </c>
      <c r="L154" s="6">
        <f t="shared" si="198"/>
        <v>265.14345569567274</v>
      </c>
      <c r="M154" s="6">
        <f t="shared" si="198"/>
        <v>271.06051214315249</v>
      </c>
      <c r="N154" s="6">
        <f t="shared" si="198"/>
        <v>275.66409733863452</v>
      </c>
      <c r="O154" s="6">
        <f t="shared" si="198"/>
        <v>280.32747425186562</v>
      </c>
      <c r="P154" s="6">
        <f t="shared" si="198"/>
        <v>309.81670777063596</v>
      </c>
      <c r="Q154" s="6">
        <f t="shared" si="198"/>
        <v>335.90822043491511</v>
      </c>
      <c r="R154" s="6">
        <f t="shared" si="198"/>
        <v>361.72881021745741</v>
      </c>
    </row>
    <row r="155" spans="1:20" x14ac:dyDescent="0.25">
      <c r="B155" s="4" t="s">
        <v>9</v>
      </c>
      <c r="C155" s="6">
        <v>50520</v>
      </c>
      <c r="D155" s="6">
        <v>47899</v>
      </c>
      <c r="E155" s="6">
        <f>24021/181*365</f>
        <v>48440.138121546959</v>
      </c>
      <c r="F155" s="6">
        <f>F156*366</f>
        <v>57453.749269947759</v>
      </c>
      <c r="G155" s="6">
        <f t="shared" ref="G155:Q155" si="199">G156*365</f>
        <v>59488.886645122024</v>
      </c>
      <c r="H155" s="6">
        <f t="shared" si="199"/>
        <v>60330.045214914629</v>
      </c>
      <c r="I155" s="6">
        <f t="shared" si="199"/>
        <v>62178.448391259888</v>
      </c>
      <c r="J155" s="6">
        <f>J156*366</f>
        <v>64219.201138538752</v>
      </c>
      <c r="K155" s="6">
        <f>K156*366</f>
        <v>65759.400953025412</v>
      </c>
      <c r="L155" s="6">
        <f t="shared" ref="L155" si="200">L156*366</f>
        <v>67323.304784616237</v>
      </c>
      <c r="M155" s="6">
        <f t="shared" ref="M155" si="201">M156*366</f>
        <v>68830.14744439382</v>
      </c>
      <c r="N155" s="6">
        <f t="shared" ref="N155" si="202">N156*366</f>
        <v>69856.259625940234</v>
      </c>
      <c r="O155" s="6">
        <f t="shared" si="199"/>
        <v>70710.528101930948</v>
      </c>
      <c r="P155" s="6">
        <f t="shared" si="199"/>
        <v>71108.098336282128</v>
      </c>
      <c r="Q155" s="6">
        <f t="shared" si="199"/>
        <v>71506.50045874402</v>
      </c>
      <c r="R155" s="6">
        <f>R156*366</f>
        <v>72002.744539589417</v>
      </c>
    </row>
    <row r="156" spans="1:20" x14ac:dyDescent="0.25">
      <c r="B156" s="4" t="s">
        <v>10</v>
      </c>
      <c r="C156" s="13">
        <f>C155/365</f>
        <v>138.41095890410958</v>
      </c>
      <c r="D156" s="13">
        <f>D155/365</f>
        <v>131.23013698630137</v>
      </c>
      <c r="E156" s="6">
        <f>E155/365</f>
        <v>132.71270718232043</v>
      </c>
      <c r="F156" s="6">
        <f t="shared" ref="F156:R156" si="203">F150*F152/1000</f>
        <v>156.9774570217152</v>
      </c>
      <c r="G156" s="6">
        <f t="shared" si="203"/>
        <v>162.9832510825261</v>
      </c>
      <c r="H156" s="6">
        <f t="shared" si="203"/>
        <v>165.28779510935516</v>
      </c>
      <c r="I156" s="6">
        <f t="shared" si="203"/>
        <v>170.35191340071202</v>
      </c>
      <c r="J156" s="6">
        <f t="shared" si="203"/>
        <v>175.46229819272884</v>
      </c>
      <c r="K156" s="6">
        <f t="shared" si="203"/>
        <v>179.67049440717324</v>
      </c>
      <c r="L156" s="6">
        <f t="shared" si="203"/>
        <v>183.94345569567278</v>
      </c>
      <c r="M156" s="6">
        <f t="shared" si="203"/>
        <v>188.06051214315252</v>
      </c>
      <c r="N156" s="6">
        <f t="shared" si="203"/>
        <v>190.86409733863454</v>
      </c>
      <c r="O156" s="6">
        <f t="shared" si="203"/>
        <v>193.72747425186563</v>
      </c>
      <c r="P156" s="6">
        <f t="shared" si="203"/>
        <v>194.81670777063599</v>
      </c>
      <c r="Q156" s="6">
        <f t="shared" si="203"/>
        <v>195.90822043491511</v>
      </c>
      <c r="R156" s="6">
        <f t="shared" si="203"/>
        <v>196.72881021745744</v>
      </c>
    </row>
    <row r="157" spans="1:20" x14ac:dyDescent="0.25">
      <c r="B157" s="4" t="s">
        <v>11</v>
      </c>
      <c r="C157" s="13">
        <v>24118</v>
      </c>
      <c r="D157" s="13">
        <v>26241</v>
      </c>
      <c r="E157" s="6">
        <f>13428/181*365</f>
        <v>27078.563535911602</v>
      </c>
      <c r="F157" s="6">
        <f>F158*366</f>
        <v>27084</v>
      </c>
      <c r="G157" s="6">
        <f t="shared" ref="G157:Q157" si="204">G158*365</f>
        <v>27010</v>
      </c>
      <c r="H157" s="6">
        <f t="shared" si="204"/>
        <v>27010</v>
      </c>
      <c r="I157" s="6">
        <f t="shared" si="204"/>
        <v>27667</v>
      </c>
      <c r="J157" s="6">
        <f>J158*366</f>
        <v>28401.599999999999</v>
      </c>
      <c r="K157" s="6">
        <f t="shared" si="204"/>
        <v>28980.999999999996</v>
      </c>
      <c r="L157" s="6">
        <f t="shared" si="204"/>
        <v>29637.999999999996</v>
      </c>
      <c r="M157" s="6">
        <f t="shared" si="204"/>
        <v>30294.999999999996</v>
      </c>
      <c r="N157" s="6">
        <f t="shared" ref="N157" si="205">N158*366</f>
        <v>31036.799999999992</v>
      </c>
      <c r="O157" s="6">
        <f t="shared" si="204"/>
        <v>31608.999999999993</v>
      </c>
      <c r="P157" s="6">
        <f t="shared" si="204"/>
        <v>32850</v>
      </c>
      <c r="Q157" s="6">
        <f t="shared" si="204"/>
        <v>41975</v>
      </c>
      <c r="R157" s="6">
        <f>R158*366</f>
        <v>51240</v>
      </c>
    </row>
    <row r="158" spans="1:20" x14ac:dyDescent="0.25">
      <c r="B158" s="4" t="s">
        <v>12</v>
      </c>
      <c r="C158" s="39">
        <f>C157/365</f>
        <v>66.07671232876713</v>
      </c>
      <c r="D158" s="39">
        <f>D157/365</f>
        <v>71.893150684931513</v>
      </c>
      <c r="E158" s="6">
        <f>E157/365</f>
        <v>74.187845303867405</v>
      </c>
      <c r="F158" s="6">
        <v>74</v>
      </c>
      <c r="G158" s="6">
        <v>74</v>
      </c>
      <c r="H158" s="6">
        <v>74</v>
      </c>
      <c r="I158" s="6">
        <f>+H158+1.8</f>
        <v>75.8</v>
      </c>
      <c r="J158" s="6">
        <f t="shared" ref="J158:O158" si="206">+I158+1.8</f>
        <v>77.599999999999994</v>
      </c>
      <c r="K158" s="6">
        <f t="shared" si="206"/>
        <v>79.399999999999991</v>
      </c>
      <c r="L158" s="6">
        <f t="shared" si="206"/>
        <v>81.199999999999989</v>
      </c>
      <c r="M158" s="6">
        <f t="shared" si="206"/>
        <v>82.999999999999986</v>
      </c>
      <c r="N158" s="6">
        <f t="shared" si="206"/>
        <v>84.799999999999983</v>
      </c>
      <c r="O158" s="6">
        <f t="shared" si="206"/>
        <v>86.59999999999998</v>
      </c>
      <c r="P158" s="6">
        <v>90</v>
      </c>
      <c r="Q158" s="6">
        <v>115</v>
      </c>
      <c r="R158" s="6">
        <v>140</v>
      </c>
      <c r="T158" s="35"/>
    </row>
    <row r="159" spans="1:20" ht="26.4" x14ac:dyDescent="0.25">
      <c r="B159" s="4" t="s">
        <v>13</v>
      </c>
      <c r="C159" s="6"/>
      <c r="D159" s="6"/>
      <c r="E159" s="6"/>
      <c r="F159" s="6"/>
      <c r="G159" s="6"/>
      <c r="H159" s="6"/>
      <c r="I159" s="6"/>
      <c r="J159" s="13"/>
      <c r="K159" s="13"/>
      <c r="L159" s="13"/>
      <c r="M159" s="13"/>
      <c r="N159" s="13"/>
      <c r="O159" s="13"/>
      <c r="P159" s="13">
        <v>25</v>
      </c>
      <c r="Q159" s="13">
        <v>25</v>
      </c>
      <c r="R159" s="13">
        <v>25</v>
      </c>
      <c r="T159" s="35"/>
    </row>
    <row r="160" spans="1:20" x14ac:dyDescent="0.25"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8"/>
      <c r="R160" s="48"/>
    </row>
    <row r="162" spans="1:20" ht="15.6" x14ac:dyDescent="0.3">
      <c r="A162" s="46">
        <v>12</v>
      </c>
      <c r="B162" s="53" t="s">
        <v>27</v>
      </c>
      <c r="C162" s="53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</row>
    <row r="163" spans="1:20" x14ac:dyDescent="0.25">
      <c r="B163" s="2" t="s">
        <v>1</v>
      </c>
      <c r="C163" s="18">
        <v>2021</v>
      </c>
      <c r="D163" s="18">
        <v>2022</v>
      </c>
      <c r="E163" s="18" t="s">
        <v>2</v>
      </c>
      <c r="F163" s="18">
        <v>2024</v>
      </c>
      <c r="G163" s="18">
        <v>2025</v>
      </c>
      <c r="H163" s="18">
        <v>2026</v>
      </c>
      <c r="I163" s="18">
        <v>2027</v>
      </c>
      <c r="J163" s="18">
        <v>2028</v>
      </c>
      <c r="K163" s="18">
        <v>2029</v>
      </c>
      <c r="L163" s="18">
        <v>2030</v>
      </c>
      <c r="M163" s="18">
        <v>2031</v>
      </c>
      <c r="N163" s="18">
        <v>2032</v>
      </c>
      <c r="O163" s="19">
        <v>2033</v>
      </c>
      <c r="P163" s="19">
        <v>2034</v>
      </c>
      <c r="Q163" s="19">
        <v>2035</v>
      </c>
      <c r="R163" s="19">
        <v>2036</v>
      </c>
    </row>
    <row r="164" spans="1:20" x14ac:dyDescent="0.25">
      <c r="B164" s="4" t="s">
        <v>3</v>
      </c>
      <c r="C164" s="4">
        <v>2014</v>
      </c>
      <c r="D164" s="4">
        <v>1918</v>
      </c>
      <c r="E164" s="6">
        <v>2093.9500000000003</v>
      </c>
      <c r="F164" s="6">
        <v>2169.4900000000007</v>
      </c>
      <c r="G164" s="6">
        <v>2271.5500000000011</v>
      </c>
      <c r="H164" s="6">
        <v>2373.6100000000015</v>
      </c>
      <c r="I164" s="6">
        <v>2471.260000000002</v>
      </c>
      <c r="J164" s="6">
        <v>2564.5000000000023</v>
      </c>
      <c r="K164" s="6">
        <v>2640.1000000000026</v>
      </c>
      <c r="L164" s="6">
        <v>2698.0000000000027</v>
      </c>
      <c r="M164" s="6">
        <v>2747.0200000000027</v>
      </c>
      <c r="N164" s="6">
        <v>2791.6000000000026</v>
      </c>
      <c r="O164" s="6">
        <v>2831.4400000000023</v>
      </c>
      <c r="P164" s="6">
        <v>2849.0800000000022</v>
      </c>
      <c r="Q164" s="6">
        <v>2866.7200000000021</v>
      </c>
      <c r="R164" s="6">
        <v>2884.3600000000019</v>
      </c>
    </row>
    <row r="165" spans="1:20" ht="26.4" x14ac:dyDescent="0.25">
      <c r="B165" s="4" t="s">
        <v>4</v>
      </c>
      <c r="C165" s="6">
        <f>C164*C166/100</f>
        <v>1893.16</v>
      </c>
      <c r="D165" s="6">
        <f>D164*D166/100</f>
        <v>1802.92</v>
      </c>
      <c r="E165" s="6">
        <v>1840</v>
      </c>
      <c r="F165" s="6">
        <f t="shared" ref="F165" si="207">F164*F166/100</f>
        <v>2039.3206000000005</v>
      </c>
      <c r="G165" s="6">
        <f t="shared" ref="G165" si="208">G164*G166/100</f>
        <v>2135.257000000001</v>
      </c>
      <c r="H165" s="6">
        <f t="shared" ref="H165" si="209">H164*H166/100</f>
        <v>2231.1934000000015</v>
      </c>
      <c r="I165" s="6">
        <f t="shared" ref="I165" si="210">I164*I166/100</f>
        <v>2322.9844000000016</v>
      </c>
      <c r="J165" s="6">
        <f t="shared" ref="J165" si="211">J164*J166/100</f>
        <v>2410.6300000000019</v>
      </c>
      <c r="K165" s="6">
        <f t="shared" ref="K165" si="212">K164*K166/100</f>
        <v>2479.0539000000026</v>
      </c>
      <c r="L165" s="6">
        <f t="shared" ref="L165" si="213">L164*L166/100</f>
        <v>2536.1200000000026</v>
      </c>
      <c r="M165" s="6">
        <f t="shared" ref="M165" si="214">M164*M166/100</f>
        <v>2584.9458200000022</v>
      </c>
      <c r="N165" s="6">
        <f t="shared" ref="N165" si="215">N164*N166/100</f>
        <v>2629.6872000000026</v>
      </c>
      <c r="O165" s="6">
        <f t="shared" ref="O165" si="216">O164*O166/100</f>
        <v>2670.0479200000018</v>
      </c>
      <c r="P165" s="6">
        <f t="shared" ref="P165" si="217">P164*P166/100</f>
        <v>2686.6824400000019</v>
      </c>
      <c r="Q165" s="6">
        <f t="shared" ref="Q165" si="218">Q164*Q166/100</f>
        <v>2706.1836800000019</v>
      </c>
      <c r="R165" s="6">
        <f t="shared" ref="R165" si="219">R164*R166/100</f>
        <v>2722.835840000002</v>
      </c>
    </row>
    <row r="166" spans="1:20" x14ac:dyDescent="0.25">
      <c r="B166" s="4" t="s">
        <v>5</v>
      </c>
      <c r="C166" s="6">
        <v>94</v>
      </c>
      <c r="D166" s="6">
        <v>94</v>
      </c>
      <c r="E166" s="6">
        <v>94</v>
      </c>
      <c r="F166" s="6">
        <v>94</v>
      </c>
      <c r="G166" s="6">
        <v>94</v>
      </c>
      <c r="H166" s="6">
        <v>94</v>
      </c>
      <c r="I166" s="6">
        <v>94</v>
      </c>
      <c r="J166" s="6">
        <v>94</v>
      </c>
      <c r="K166" s="6">
        <v>93.9</v>
      </c>
      <c r="L166" s="6">
        <v>94</v>
      </c>
      <c r="M166" s="6">
        <v>94.1</v>
      </c>
      <c r="N166" s="6">
        <v>94.2</v>
      </c>
      <c r="O166" s="6">
        <v>94.3</v>
      </c>
      <c r="P166" s="6">
        <v>94.3</v>
      </c>
      <c r="Q166" s="6">
        <v>94.4</v>
      </c>
      <c r="R166" s="6">
        <v>94.4</v>
      </c>
    </row>
    <row r="167" spans="1:20" x14ac:dyDescent="0.25">
      <c r="B167" s="4" t="s">
        <v>6</v>
      </c>
      <c r="C167" s="3">
        <f>C171/C165*1000</f>
        <v>102.09935291201172</v>
      </c>
      <c r="D167" s="3">
        <f>D171/D165*1000</f>
        <v>103.53068036661379</v>
      </c>
      <c r="E167" s="3">
        <f>E171/E165*1000</f>
        <v>107.146288734086</v>
      </c>
      <c r="F167" s="3">
        <f>+E167+1.02</f>
        <v>108.166288734086</v>
      </c>
      <c r="G167" s="3">
        <f t="shared" ref="G167:H167" si="220">+F167+1.02</f>
        <v>109.18628873408599</v>
      </c>
      <c r="H167" s="3">
        <f t="shared" si="220"/>
        <v>110.20628873408599</v>
      </c>
      <c r="I167" s="3">
        <v>115.01538481488276</v>
      </c>
      <c r="J167" s="3">
        <v>115.51384633339448</v>
      </c>
      <c r="K167" s="3">
        <v>116.0123078519062</v>
      </c>
      <c r="L167" s="3">
        <v>116.51076937041792</v>
      </c>
      <c r="M167" s="3">
        <v>117.00923088892964</v>
      </c>
      <c r="N167" s="3">
        <v>117.50769240744135</v>
      </c>
      <c r="O167" s="3">
        <v>118.00615392595307</v>
      </c>
      <c r="P167" s="3">
        <v>118.50461544446479</v>
      </c>
      <c r="Q167" s="3">
        <v>119.00307696297651</v>
      </c>
      <c r="R167" s="3">
        <v>119.50153848148823</v>
      </c>
    </row>
    <row r="168" spans="1:20" x14ac:dyDescent="0.25">
      <c r="B168" s="4" t="s">
        <v>7</v>
      </c>
      <c r="C168" s="10">
        <f>+C170+C172</f>
        <v>76322</v>
      </c>
      <c r="D168" s="10">
        <f>+D170+D172</f>
        <v>73649</v>
      </c>
      <c r="E168" s="10">
        <f t="shared" ref="E168" si="221">+E170+E172</f>
        <v>77488.895027624298</v>
      </c>
      <c r="F168" s="10">
        <f t="shared" ref="F168:R168" si="222">+F170+F172</f>
        <v>84394.381147794862</v>
      </c>
      <c r="G168" s="10">
        <f t="shared" si="222"/>
        <v>89111.387373069592</v>
      </c>
      <c r="H168" s="10">
        <f t="shared" si="222"/>
        <v>94495.413582625319</v>
      </c>
      <c r="I168" s="10">
        <f t="shared" si="222"/>
        <v>102995.31481001395</v>
      </c>
      <c r="J168" s="10">
        <f t="shared" si="222"/>
        <v>108138.77847952158</v>
      </c>
      <c r="K168" s="10">
        <f t="shared" si="222"/>
        <v>112196.87970754645</v>
      </c>
      <c r="L168" s="10">
        <f t="shared" si="222"/>
        <v>115812.61702414787</v>
      </c>
      <c r="M168" s="10">
        <f t="shared" si="222"/>
        <v>119096.2831573179</v>
      </c>
      <c r="N168" s="10">
        <f t="shared" si="222"/>
        <v>122247.10171289126</v>
      </c>
      <c r="O168" s="10">
        <f t="shared" si="222"/>
        <v>124859.96133057472</v>
      </c>
      <c r="P168" s="10">
        <f t="shared" si="222"/>
        <v>126795.25832136275</v>
      </c>
      <c r="Q168" s="10">
        <f t="shared" si="222"/>
        <v>128861.12743265179</v>
      </c>
      <c r="R168" s="10">
        <f t="shared" si="222"/>
        <v>131168.20431998803</v>
      </c>
    </row>
    <row r="169" spans="1:20" x14ac:dyDescent="0.25">
      <c r="B169" s="4" t="s">
        <v>8</v>
      </c>
      <c r="C169" s="6">
        <f t="shared" ref="C169:D169" si="223">C171+C173</f>
        <v>209.1013698630137</v>
      </c>
      <c r="D169" s="6">
        <f t="shared" si="223"/>
        <v>201.77808219178084</v>
      </c>
      <c r="E169" s="6">
        <f>E168/365</f>
        <v>212.29834254143643</v>
      </c>
      <c r="F169" s="24">
        <f>+F171+F173</f>
        <v>230.58574084096955</v>
      </c>
      <c r="G169" s="24">
        <f t="shared" ref="G169:H169" si="224">+G171+G173</f>
        <v>244.14078732347835</v>
      </c>
      <c r="H169" s="24">
        <f t="shared" si="224"/>
        <v>258.89154406198713</v>
      </c>
      <c r="I169" s="6">
        <f t="shared" ref="I169:R169" si="225">+I171+I173+I174</f>
        <v>282.17894468496974</v>
      </c>
      <c r="J169" s="6">
        <f t="shared" si="225"/>
        <v>295.46114338667098</v>
      </c>
      <c r="K169" s="6">
        <f t="shared" si="225"/>
        <v>306.60076422826899</v>
      </c>
      <c r="L169" s="6">
        <f t="shared" si="225"/>
        <v>316.48529241570458</v>
      </c>
      <c r="M169" s="6">
        <f t="shared" si="225"/>
        <v>325.46252228775381</v>
      </c>
      <c r="N169" s="6">
        <f t="shared" si="225"/>
        <v>334.00847462538599</v>
      </c>
      <c r="O169" s="6">
        <f t="shared" si="225"/>
        <v>342.08208583719102</v>
      </c>
      <c r="P169" s="6">
        <f t="shared" si="225"/>
        <v>347.38426937359657</v>
      </c>
      <c r="Q169" s="6">
        <f t="shared" si="225"/>
        <v>353.04418474699122</v>
      </c>
      <c r="R169" s="6">
        <f t="shared" si="225"/>
        <v>358.38307191253557</v>
      </c>
    </row>
    <row r="170" spans="1:20" x14ac:dyDescent="0.25">
      <c r="B170" s="4" t="s">
        <v>9</v>
      </c>
      <c r="C170" s="6">
        <v>70551</v>
      </c>
      <c r="D170" s="6">
        <v>68130</v>
      </c>
      <c r="E170" s="6">
        <f>35684/181*365</f>
        <v>71959.447513812149</v>
      </c>
      <c r="F170" s="6">
        <f>F171*366</f>
        <v>80734.381147794862</v>
      </c>
      <c r="G170" s="6">
        <f t="shared" ref="G170:Q170" si="226">G171*365</f>
        <v>85096.387373069592</v>
      </c>
      <c r="H170" s="6">
        <f t="shared" si="226"/>
        <v>89750.413582625319</v>
      </c>
      <c r="I170" s="6">
        <f t="shared" si="226"/>
        <v>97520.314810013952</v>
      </c>
      <c r="J170" s="6">
        <f>J171*366</f>
        <v>101916.77847952158</v>
      </c>
      <c r="K170" s="6">
        <f>K171*366</f>
        <v>105261.87970754645</v>
      </c>
      <c r="L170" s="6">
        <f t="shared" ref="L170" si="227">L171*366</f>
        <v>108147.61702414787</v>
      </c>
      <c r="M170" s="6">
        <f t="shared" ref="M170" si="228">M171*366</f>
        <v>110701.2831573179</v>
      </c>
      <c r="N170" s="6">
        <f t="shared" ref="N170" si="229">N171*366</f>
        <v>113097.10171289126</v>
      </c>
      <c r="O170" s="6">
        <f t="shared" si="226"/>
        <v>115004.96133057472</v>
      </c>
      <c r="P170" s="6">
        <f t="shared" si="226"/>
        <v>116210.25832136275</v>
      </c>
      <c r="Q170" s="6">
        <f t="shared" si="226"/>
        <v>117546.12743265179</v>
      </c>
      <c r="R170" s="6">
        <f>R171*366</f>
        <v>119090.20431998801</v>
      </c>
    </row>
    <row r="171" spans="1:20" x14ac:dyDescent="0.25">
      <c r="B171" s="4" t="s">
        <v>10</v>
      </c>
      <c r="C171" s="13">
        <f>C170/365</f>
        <v>193.29041095890412</v>
      </c>
      <c r="D171" s="13">
        <f>D170/365</f>
        <v>186.65753424657535</v>
      </c>
      <c r="E171" s="6">
        <f>E170/365</f>
        <v>197.14917127071823</v>
      </c>
      <c r="F171" s="6">
        <f t="shared" ref="F171:R171" si="230">F165*F167/1000</f>
        <v>220.58574084096955</v>
      </c>
      <c r="G171" s="6">
        <f t="shared" si="230"/>
        <v>233.14078732347835</v>
      </c>
      <c r="H171" s="6">
        <f t="shared" si="230"/>
        <v>245.89154406198716</v>
      </c>
      <c r="I171" s="6">
        <f t="shared" si="230"/>
        <v>267.17894468496974</v>
      </c>
      <c r="J171" s="6">
        <f t="shared" si="230"/>
        <v>278.46114338667098</v>
      </c>
      <c r="K171" s="6">
        <f t="shared" si="230"/>
        <v>287.60076422826899</v>
      </c>
      <c r="L171" s="6">
        <f t="shared" si="230"/>
        <v>295.48529241570458</v>
      </c>
      <c r="M171" s="6">
        <f t="shared" si="230"/>
        <v>302.46252228775381</v>
      </c>
      <c r="N171" s="6">
        <f t="shared" si="230"/>
        <v>309.00847462538599</v>
      </c>
      <c r="O171" s="6">
        <f t="shared" si="230"/>
        <v>315.08208583719102</v>
      </c>
      <c r="P171" s="6">
        <f t="shared" si="230"/>
        <v>318.38426937359657</v>
      </c>
      <c r="Q171" s="6">
        <f t="shared" si="230"/>
        <v>322.04418474699122</v>
      </c>
      <c r="R171" s="6">
        <f t="shared" si="230"/>
        <v>325.38307191253557</v>
      </c>
    </row>
    <row r="172" spans="1:20" x14ac:dyDescent="0.25">
      <c r="B172" s="4" t="s">
        <v>11</v>
      </c>
      <c r="C172" s="13">
        <v>5771</v>
      </c>
      <c r="D172" s="13">
        <v>5519</v>
      </c>
      <c r="E172" s="6">
        <f>2742/181*365</f>
        <v>5529.4475138121552</v>
      </c>
      <c r="F172" s="6">
        <f>F173*366</f>
        <v>3660</v>
      </c>
      <c r="G172" s="6">
        <f t="shared" ref="G172:Q172" si="231">G173*365</f>
        <v>4015</v>
      </c>
      <c r="H172" s="6">
        <f t="shared" si="231"/>
        <v>4745</v>
      </c>
      <c r="I172" s="6">
        <f t="shared" si="231"/>
        <v>5475</v>
      </c>
      <c r="J172" s="6">
        <f>J173*366</f>
        <v>6222</v>
      </c>
      <c r="K172" s="6">
        <f t="shared" si="231"/>
        <v>6935</v>
      </c>
      <c r="L172" s="6">
        <f t="shared" si="231"/>
        <v>7665</v>
      </c>
      <c r="M172" s="6">
        <f t="shared" si="231"/>
        <v>8395</v>
      </c>
      <c r="N172" s="6">
        <f t="shared" ref="N172" si="232">N173*366</f>
        <v>9150</v>
      </c>
      <c r="O172" s="6">
        <f t="shared" si="231"/>
        <v>9855</v>
      </c>
      <c r="P172" s="6">
        <f t="shared" si="231"/>
        <v>10585</v>
      </c>
      <c r="Q172" s="6">
        <f t="shared" si="231"/>
        <v>11315</v>
      </c>
      <c r="R172" s="6">
        <f>R173*366</f>
        <v>12078</v>
      </c>
    </row>
    <row r="173" spans="1:20" x14ac:dyDescent="0.25">
      <c r="B173" s="4" t="s">
        <v>12</v>
      </c>
      <c r="C173" s="37">
        <f>C172/365</f>
        <v>15.810958904109588</v>
      </c>
      <c r="D173" s="37">
        <f>D172/365</f>
        <v>15.12054794520548</v>
      </c>
      <c r="E173" s="6">
        <f>E172/365</f>
        <v>15.149171270718233</v>
      </c>
      <c r="F173" s="6">
        <v>10</v>
      </c>
      <c r="G173" s="6">
        <v>11</v>
      </c>
      <c r="H173" s="6">
        <f>+G173+2</f>
        <v>13</v>
      </c>
      <c r="I173" s="6">
        <f t="shared" ref="I173:R173" si="233">+H173+2</f>
        <v>15</v>
      </c>
      <c r="J173" s="6">
        <f t="shared" si="233"/>
        <v>17</v>
      </c>
      <c r="K173" s="6">
        <f t="shared" si="233"/>
        <v>19</v>
      </c>
      <c r="L173" s="6">
        <f t="shared" si="233"/>
        <v>21</v>
      </c>
      <c r="M173" s="6">
        <f t="shared" si="233"/>
        <v>23</v>
      </c>
      <c r="N173" s="6">
        <f t="shared" si="233"/>
        <v>25</v>
      </c>
      <c r="O173" s="6">
        <f t="shared" si="233"/>
        <v>27</v>
      </c>
      <c r="P173" s="6">
        <f t="shared" si="233"/>
        <v>29</v>
      </c>
      <c r="Q173" s="6">
        <f t="shared" si="233"/>
        <v>31</v>
      </c>
      <c r="R173" s="6">
        <f t="shared" si="233"/>
        <v>33</v>
      </c>
      <c r="T173" s="35"/>
    </row>
    <row r="174" spans="1:20" x14ac:dyDescent="0.25"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8"/>
      <c r="R174" s="48"/>
    </row>
    <row r="176" spans="1:20" ht="15.6" x14ac:dyDescent="0.3">
      <c r="A176" s="46">
        <v>13</v>
      </c>
      <c r="B176" s="53" t="s">
        <v>28</v>
      </c>
      <c r="C176" s="53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</row>
    <row r="177" spans="1:20" x14ac:dyDescent="0.25">
      <c r="B177" s="2" t="s">
        <v>1</v>
      </c>
      <c r="C177" s="18">
        <v>2021</v>
      </c>
      <c r="D177" s="18">
        <v>2022</v>
      </c>
      <c r="E177" s="18" t="s">
        <v>2</v>
      </c>
      <c r="F177" s="18">
        <v>2024</v>
      </c>
      <c r="G177" s="18">
        <v>2025</v>
      </c>
      <c r="H177" s="18">
        <v>2026</v>
      </c>
      <c r="I177" s="18">
        <v>2027</v>
      </c>
      <c r="J177" s="18">
        <v>2028</v>
      </c>
      <c r="K177" s="18">
        <v>2029</v>
      </c>
      <c r="L177" s="18">
        <v>2030</v>
      </c>
      <c r="M177" s="18">
        <v>2031</v>
      </c>
      <c r="N177" s="18">
        <v>2032</v>
      </c>
      <c r="O177" s="19">
        <v>2033</v>
      </c>
      <c r="P177" s="19">
        <v>2034</v>
      </c>
      <c r="Q177" s="19">
        <v>2035</v>
      </c>
      <c r="R177" s="19">
        <v>2036</v>
      </c>
    </row>
    <row r="178" spans="1:20" x14ac:dyDescent="0.25">
      <c r="B178" s="4" t="s">
        <v>3</v>
      </c>
      <c r="C178" s="4">
        <v>479</v>
      </c>
      <c r="D178" s="4">
        <v>422</v>
      </c>
      <c r="E178" s="6">
        <v>484</v>
      </c>
      <c r="F178" s="6">
        <v>548.30000000000007</v>
      </c>
      <c r="G178" s="6">
        <v>573.80000000000007</v>
      </c>
      <c r="H178" s="6">
        <v>599.30000000000007</v>
      </c>
      <c r="I178" s="6">
        <v>629.29999999999995</v>
      </c>
      <c r="J178" s="6">
        <v>659.29999999999984</v>
      </c>
      <c r="K178" s="6">
        <v>689.29999999999973</v>
      </c>
      <c r="L178" s="6">
        <v>718.39999999999975</v>
      </c>
      <c r="M178" s="6">
        <v>746.59999999999968</v>
      </c>
      <c r="N178" s="6">
        <v>751.99999999999966</v>
      </c>
      <c r="O178" s="6">
        <v>751.99999999999966</v>
      </c>
      <c r="P178" s="6">
        <v>751.99999999999966</v>
      </c>
      <c r="Q178" s="6">
        <v>751.99999999999966</v>
      </c>
      <c r="R178" s="6">
        <v>751.99999999999966</v>
      </c>
    </row>
    <row r="179" spans="1:20" ht="26.4" x14ac:dyDescent="0.25">
      <c r="B179" s="4" t="s">
        <v>4</v>
      </c>
      <c r="C179" s="6">
        <f>C178*C180/100</f>
        <v>445.47</v>
      </c>
      <c r="D179" s="6">
        <f>D178*D180/100</f>
        <v>388.24</v>
      </c>
      <c r="E179" s="6">
        <f>E178*E180/100</f>
        <v>459.8</v>
      </c>
      <c r="F179" s="6">
        <f t="shared" ref="F179" si="234">F178*F180/100</f>
        <v>526.36800000000005</v>
      </c>
      <c r="G179" s="6">
        <f t="shared" ref="G179" si="235">G178*G180/100</f>
        <v>554.86460000000011</v>
      </c>
      <c r="H179" s="6">
        <f t="shared" ref="H179" si="236">H178*H180/100</f>
        <v>580.12240000000008</v>
      </c>
      <c r="I179" s="6">
        <f t="shared" ref="I179" si="237">I178*I180/100</f>
        <v>610.42099999999994</v>
      </c>
      <c r="J179" s="6">
        <f t="shared" ref="J179" si="238">J178*J180/100</f>
        <v>640.18029999999987</v>
      </c>
      <c r="K179" s="6">
        <f t="shared" ref="K179" si="239">K178*K180/100</f>
        <v>669.99959999999976</v>
      </c>
      <c r="L179" s="6">
        <f t="shared" ref="L179" si="240">L178*L180/100</f>
        <v>699.00319999999977</v>
      </c>
      <c r="M179" s="6">
        <f t="shared" ref="M179" si="241">M178*M180/100</f>
        <v>727.18839999999966</v>
      </c>
      <c r="N179" s="6">
        <f t="shared" ref="N179" si="242">N178*N180/100</f>
        <v>733.1999999999997</v>
      </c>
      <c r="O179" s="6">
        <f t="shared" ref="O179" si="243">O178*O180/100</f>
        <v>733.1999999999997</v>
      </c>
      <c r="P179" s="6">
        <f t="shared" ref="P179" si="244">P178*P180/100</f>
        <v>733.1999999999997</v>
      </c>
      <c r="Q179" s="6">
        <f t="shared" ref="Q179" si="245">Q178*Q180/100</f>
        <v>733.1999999999997</v>
      </c>
      <c r="R179" s="6">
        <f t="shared" ref="R179" si="246">R178*R180/100</f>
        <v>733.1999999999997</v>
      </c>
    </row>
    <row r="180" spans="1:20" x14ac:dyDescent="0.25">
      <c r="B180" s="4" t="s">
        <v>5</v>
      </c>
      <c r="C180" s="6">
        <v>93</v>
      </c>
      <c r="D180" s="6">
        <v>92</v>
      </c>
      <c r="E180" s="6">
        <v>95</v>
      </c>
      <c r="F180" s="6">
        <v>96</v>
      </c>
      <c r="G180" s="6">
        <v>96.7</v>
      </c>
      <c r="H180" s="6">
        <v>96.8</v>
      </c>
      <c r="I180" s="6">
        <v>97</v>
      </c>
      <c r="J180" s="6">
        <v>97.1</v>
      </c>
      <c r="K180" s="6">
        <v>97.2</v>
      </c>
      <c r="L180" s="6">
        <v>97.3</v>
      </c>
      <c r="M180" s="6">
        <v>97.4</v>
      </c>
      <c r="N180" s="6">
        <v>97.5</v>
      </c>
      <c r="O180" s="6">
        <v>97.5</v>
      </c>
      <c r="P180" s="6">
        <v>97.5</v>
      </c>
      <c r="Q180" s="6">
        <v>97.5</v>
      </c>
      <c r="R180" s="6">
        <v>97.5</v>
      </c>
    </row>
    <row r="181" spans="1:20" x14ac:dyDescent="0.25">
      <c r="B181" s="4" t="s">
        <v>6</v>
      </c>
      <c r="C181" s="3">
        <f>C185/C179*1000</f>
        <v>117.36411381422299</v>
      </c>
      <c r="D181" s="3">
        <f>D185/D179*1000</f>
        <v>123.78305750714851</v>
      </c>
      <c r="E181" s="3">
        <f>E185/E179*1000</f>
        <v>113.06861739069834</v>
      </c>
      <c r="F181" s="3">
        <f>+E181+0.5</f>
        <v>113.56861739069834</v>
      </c>
      <c r="G181" s="3">
        <f t="shared" ref="G181:N181" si="247">+F181+0.5</f>
        <v>114.06861739069834</v>
      </c>
      <c r="H181" s="3">
        <f t="shared" si="247"/>
        <v>114.56861739069834</v>
      </c>
      <c r="I181" s="3">
        <f t="shared" si="247"/>
        <v>115.06861739069834</v>
      </c>
      <c r="J181" s="3">
        <f t="shared" si="247"/>
        <v>115.56861739069834</v>
      </c>
      <c r="K181" s="3">
        <f t="shared" si="247"/>
        <v>116.06861739069834</v>
      </c>
      <c r="L181" s="3">
        <f t="shared" si="247"/>
        <v>116.56861739069834</v>
      </c>
      <c r="M181" s="3">
        <f t="shared" si="247"/>
        <v>117.06861739069834</v>
      </c>
      <c r="N181" s="3">
        <f t="shared" si="247"/>
        <v>117.56861739069834</v>
      </c>
      <c r="O181" s="3">
        <v>120</v>
      </c>
      <c r="P181" s="3">
        <v>120</v>
      </c>
      <c r="Q181" s="3">
        <v>120</v>
      </c>
      <c r="R181" s="3">
        <v>120</v>
      </c>
    </row>
    <row r="182" spans="1:20" x14ac:dyDescent="0.25">
      <c r="B182" s="4" t="s">
        <v>7</v>
      </c>
      <c r="C182" s="10">
        <f>+C184+C186</f>
        <v>19509</v>
      </c>
      <c r="D182" s="10">
        <f>+D184+D186</f>
        <v>17949.7</v>
      </c>
      <c r="E182" s="10">
        <f t="shared" ref="E182" si="248">+E184+E186</f>
        <v>19310.718232044197</v>
      </c>
      <c r="F182" s="10">
        <f t="shared" ref="F182:R182" si="249">+F184+F186</f>
        <v>22335.955101961579</v>
      </c>
      <c r="G182" s="10">
        <f t="shared" si="249"/>
        <v>23557.447295482008</v>
      </c>
      <c r="H182" s="10">
        <f t="shared" si="249"/>
        <v>24714.92928186274</v>
      </c>
      <c r="I182" s="10">
        <f t="shared" si="249"/>
        <v>26093.344193831679</v>
      </c>
      <c r="J182" s="10">
        <f t="shared" si="249"/>
        <v>27544.452113979842</v>
      </c>
      <c r="K182" s="10">
        <f t="shared" si="249"/>
        <v>28936.213876802802</v>
      </c>
      <c r="L182" s="10">
        <f t="shared" si="249"/>
        <v>30305.361699397952</v>
      </c>
      <c r="M182" s="10">
        <f t="shared" si="249"/>
        <v>31650.058761524138</v>
      </c>
      <c r="N182" s="10">
        <f t="shared" si="249"/>
        <v>32052.312385569538</v>
      </c>
      <c r="O182" s="10">
        <f t="shared" si="249"/>
        <v>32624.544512701341</v>
      </c>
      <c r="P182" s="10">
        <f t="shared" si="249"/>
        <v>32633.669512701341</v>
      </c>
      <c r="Q182" s="10">
        <f t="shared" si="249"/>
        <v>32642.794512701341</v>
      </c>
      <c r="R182" s="10">
        <f t="shared" si="249"/>
        <v>32741.376826434767</v>
      </c>
    </row>
    <row r="183" spans="1:20" x14ac:dyDescent="0.25">
      <c r="B183" s="4" t="s">
        <v>8</v>
      </c>
      <c r="C183" s="6">
        <f t="shared" ref="C183:D183" si="250">C185+C187</f>
        <v>53.449315068493149</v>
      </c>
      <c r="D183" s="6">
        <f t="shared" si="250"/>
        <v>49.177260273972607</v>
      </c>
      <c r="E183" s="6">
        <f>E182/365</f>
        <v>52.90607734806629</v>
      </c>
      <c r="F183" s="24">
        <f>+F185+F187</f>
        <v>61.027199732135465</v>
      </c>
      <c r="G183" s="24">
        <f t="shared" ref="G183:H183" si="251">+G185+G187</f>
        <v>64.540951494471244</v>
      </c>
      <c r="H183" s="24">
        <f t="shared" si="251"/>
        <v>67.71213501880203</v>
      </c>
      <c r="I183" s="6">
        <f t="shared" ref="I183:R183" si="252">+I185+I187+I188</f>
        <v>71.488614229675832</v>
      </c>
      <c r="J183" s="6">
        <f t="shared" si="252"/>
        <v>75.258065885190831</v>
      </c>
      <c r="K183" s="6">
        <f t="shared" si="252"/>
        <v>79.064240957749263</v>
      </c>
      <c r="L183" s="6">
        <f t="shared" si="252"/>
        <v>82.805150309102132</v>
      </c>
      <c r="M183" s="6">
        <f t="shared" si="252"/>
        <v>86.479254303982415</v>
      </c>
      <c r="N183" s="6">
        <f t="shared" si="252"/>
        <v>87.574624004288353</v>
      </c>
      <c r="O183" s="6">
        <f t="shared" si="252"/>
        <v>89.382313733428319</v>
      </c>
      <c r="P183" s="6">
        <f t="shared" si="252"/>
        <v>89.407313733428325</v>
      </c>
      <c r="Q183" s="6">
        <f t="shared" si="252"/>
        <v>89.43231373342833</v>
      </c>
      <c r="R183" s="6">
        <f t="shared" si="252"/>
        <v>89.457313733428322</v>
      </c>
    </row>
    <row r="184" spans="1:20" x14ac:dyDescent="0.25">
      <c r="B184" s="4" t="s">
        <v>9</v>
      </c>
      <c r="C184" s="6">
        <v>19083</v>
      </c>
      <c r="D184" s="6">
        <v>17541</v>
      </c>
      <c r="E184" s="6">
        <f>9410/181*365</f>
        <v>18975.966850828729</v>
      </c>
      <c r="F184" s="6">
        <f>F185*366</f>
        <v>21879.0722755268</v>
      </c>
      <c r="G184" s="6">
        <f t="shared" ref="G184:Q184" si="253">G185*365</f>
        <v>23101.812782780657</v>
      </c>
      <c r="H184" s="6">
        <f t="shared" si="253"/>
        <v>24259.294769161388</v>
      </c>
      <c r="I184" s="6">
        <f t="shared" si="253"/>
        <v>25637.709681130327</v>
      </c>
      <c r="J184" s="6">
        <f>J185*366</f>
        <v>27078.419287545061</v>
      </c>
      <c r="K184" s="6">
        <f>K185*366</f>
        <v>28462.32936410145</v>
      </c>
      <c r="L184" s="6">
        <f t="shared" ref="L184" si="254">L185*366</f>
        <v>29822.3521866966</v>
      </c>
      <c r="M184" s="6">
        <f t="shared" ref="M184" si="255">M185*366</f>
        <v>31157.924248822786</v>
      </c>
      <c r="N184" s="6">
        <f t="shared" ref="N184" si="256">N185*366</f>
        <v>31549.679559134758</v>
      </c>
      <c r="O184" s="6">
        <f t="shared" si="253"/>
        <v>32114.159999999989</v>
      </c>
      <c r="P184" s="6">
        <f t="shared" si="253"/>
        <v>32114.159999999989</v>
      </c>
      <c r="Q184" s="6">
        <f t="shared" si="253"/>
        <v>32114.159999999989</v>
      </c>
      <c r="R184" s="6">
        <f>R185*366</f>
        <v>32202.143999999989</v>
      </c>
    </row>
    <row r="185" spans="1:20" x14ac:dyDescent="0.25">
      <c r="B185" s="4" t="s">
        <v>10</v>
      </c>
      <c r="C185" s="13">
        <f>C184/365</f>
        <v>52.282191780821918</v>
      </c>
      <c r="D185" s="13">
        <f>D184/365</f>
        <v>48.057534246575344</v>
      </c>
      <c r="E185" s="6">
        <f>E184/365</f>
        <v>51.988950276243095</v>
      </c>
      <c r="F185" s="6">
        <f t="shared" ref="F185:R185" si="257">F179*F181/1000</f>
        <v>59.778885998707104</v>
      </c>
      <c r="G185" s="6">
        <f t="shared" si="257"/>
        <v>63.29263776104289</v>
      </c>
      <c r="H185" s="6">
        <f t="shared" si="257"/>
        <v>66.463821285373669</v>
      </c>
      <c r="I185" s="6">
        <f t="shared" si="257"/>
        <v>70.240300496247471</v>
      </c>
      <c r="J185" s="6">
        <f t="shared" si="257"/>
        <v>73.984752151762464</v>
      </c>
      <c r="K185" s="6">
        <f t="shared" si="257"/>
        <v>77.765927224320905</v>
      </c>
      <c r="L185" s="6">
        <f t="shared" si="257"/>
        <v>81.481836575673768</v>
      </c>
      <c r="M185" s="6">
        <f t="shared" si="257"/>
        <v>85.13094057055406</v>
      </c>
      <c r="N185" s="6">
        <f t="shared" si="257"/>
        <v>86.201310270859992</v>
      </c>
      <c r="O185" s="6">
        <f t="shared" si="257"/>
        <v>87.983999999999966</v>
      </c>
      <c r="P185" s="6">
        <f t="shared" si="257"/>
        <v>87.983999999999966</v>
      </c>
      <c r="Q185" s="6">
        <f t="shared" si="257"/>
        <v>87.983999999999966</v>
      </c>
      <c r="R185" s="6">
        <f t="shared" si="257"/>
        <v>87.983999999999966</v>
      </c>
    </row>
    <row r="186" spans="1:20" x14ac:dyDescent="0.25">
      <c r="B186" s="4" t="s">
        <v>11</v>
      </c>
      <c r="C186" s="13">
        <v>426</v>
      </c>
      <c r="D186" s="13">
        <v>408.7</v>
      </c>
      <c r="E186" s="6">
        <f>166/181*365</f>
        <v>334.75138121546962</v>
      </c>
      <c r="F186" s="6">
        <f>F187*366</f>
        <v>456.8828264347797</v>
      </c>
      <c r="G186" s="6">
        <f t="shared" ref="G186:Q186" si="258">G187*365</f>
        <v>455.63451270135135</v>
      </c>
      <c r="H186" s="6">
        <f t="shared" si="258"/>
        <v>455.63451270135135</v>
      </c>
      <c r="I186" s="6">
        <f t="shared" si="258"/>
        <v>455.63451270135135</v>
      </c>
      <c r="J186" s="6">
        <f>J187*366</f>
        <v>466.03282643477968</v>
      </c>
      <c r="K186" s="6">
        <f t="shared" si="258"/>
        <v>473.8845127013513</v>
      </c>
      <c r="L186" s="6">
        <f t="shared" si="258"/>
        <v>483.00951270135124</v>
      </c>
      <c r="M186" s="6">
        <f t="shared" si="258"/>
        <v>492.13451270135118</v>
      </c>
      <c r="N186" s="6">
        <f t="shared" ref="N186" si="259">N187*366</f>
        <v>502.63282643477953</v>
      </c>
      <c r="O186" s="6">
        <f t="shared" si="258"/>
        <v>510.38451270135113</v>
      </c>
      <c r="P186" s="6">
        <f t="shared" si="258"/>
        <v>519.50951270135113</v>
      </c>
      <c r="Q186" s="6">
        <f t="shared" si="258"/>
        <v>528.63451270135113</v>
      </c>
      <c r="R186" s="6">
        <f>R187*366</f>
        <v>539.23282643477944</v>
      </c>
    </row>
    <row r="187" spans="1:20" x14ac:dyDescent="0.25">
      <c r="B187" s="4" t="s">
        <v>12</v>
      </c>
      <c r="C187" s="37">
        <f>C186/365</f>
        <v>1.167123287671233</v>
      </c>
      <c r="D187" s="37">
        <f>D186/365</f>
        <v>1.1197260273972602</v>
      </c>
      <c r="E187" s="37">
        <f>E186/365</f>
        <v>0.91712707182320441</v>
      </c>
      <c r="F187" s="7">
        <v>1.2483137334283598</v>
      </c>
      <c r="G187" s="7">
        <v>1.2483137334283598</v>
      </c>
      <c r="H187" s="7">
        <v>1.2483137334283598</v>
      </c>
      <c r="I187" s="7">
        <v>1.2483137334283598</v>
      </c>
      <c r="J187" s="7">
        <f>+I187+0.025</f>
        <v>1.2733137334283597</v>
      </c>
      <c r="K187" s="7">
        <f t="shared" ref="K187:R187" si="260">+J187+0.025</f>
        <v>1.2983137334283597</v>
      </c>
      <c r="L187" s="7">
        <f t="shared" si="260"/>
        <v>1.3233137334283596</v>
      </c>
      <c r="M187" s="7">
        <f t="shared" si="260"/>
        <v>1.3483137334283595</v>
      </c>
      <c r="N187" s="7">
        <f t="shared" si="260"/>
        <v>1.3733137334283594</v>
      </c>
      <c r="O187" s="7">
        <f t="shared" si="260"/>
        <v>1.3983137334283593</v>
      </c>
      <c r="P187" s="7">
        <f t="shared" si="260"/>
        <v>1.4233137334283592</v>
      </c>
      <c r="Q187" s="7">
        <f t="shared" si="260"/>
        <v>1.4483137334283591</v>
      </c>
      <c r="R187" s="7">
        <f t="shared" si="260"/>
        <v>1.473313733428359</v>
      </c>
      <c r="T187" s="35"/>
    </row>
    <row r="188" spans="1:20" x14ac:dyDescent="0.25"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8"/>
      <c r="R188" s="48"/>
    </row>
    <row r="190" spans="1:20" ht="15.6" x14ac:dyDescent="0.3">
      <c r="A190" s="46">
        <v>14</v>
      </c>
      <c r="B190" s="53" t="s">
        <v>29</v>
      </c>
      <c r="C190" s="53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</row>
    <row r="191" spans="1:20" x14ac:dyDescent="0.25">
      <c r="B191" s="2" t="s">
        <v>1</v>
      </c>
      <c r="C191" s="18">
        <v>2021</v>
      </c>
      <c r="D191" s="18">
        <v>2022</v>
      </c>
      <c r="E191" s="18" t="s">
        <v>2</v>
      </c>
      <c r="F191" s="18">
        <v>2024</v>
      </c>
      <c r="G191" s="18">
        <v>2025</v>
      </c>
      <c r="H191" s="18">
        <v>2026</v>
      </c>
      <c r="I191" s="18">
        <v>2027</v>
      </c>
      <c r="J191" s="18">
        <v>2028</v>
      </c>
      <c r="K191" s="18">
        <v>2029</v>
      </c>
      <c r="L191" s="18">
        <v>2030</v>
      </c>
      <c r="M191" s="18">
        <v>2031</v>
      </c>
      <c r="N191" s="18">
        <v>2032</v>
      </c>
      <c r="O191" s="19">
        <v>2033</v>
      </c>
      <c r="P191" s="19">
        <v>2034</v>
      </c>
      <c r="Q191" s="19">
        <v>2035</v>
      </c>
      <c r="R191" s="19">
        <v>2036</v>
      </c>
    </row>
    <row r="192" spans="1:20" x14ac:dyDescent="0.25">
      <c r="B192" s="4" t="s">
        <v>3</v>
      </c>
      <c r="C192" s="4">
        <v>515</v>
      </c>
      <c r="D192" s="4">
        <v>528</v>
      </c>
      <c r="E192" s="6">
        <v>530</v>
      </c>
      <c r="F192" s="6">
        <v>653.39000000000021</v>
      </c>
      <c r="G192" s="6">
        <v>710.3000000000003</v>
      </c>
      <c r="H192" s="6">
        <v>745.6700000000003</v>
      </c>
      <c r="I192" s="6">
        <v>792.56000000000029</v>
      </c>
      <c r="J192" s="6">
        <v>844.91000000000031</v>
      </c>
      <c r="K192" s="6">
        <v>877.5500000000003</v>
      </c>
      <c r="L192" s="6">
        <v>905.5400000000003</v>
      </c>
      <c r="M192" s="6">
        <v>936.26000000000022</v>
      </c>
      <c r="N192" s="6">
        <v>966.98000000000013</v>
      </c>
      <c r="O192" s="6">
        <v>980.63000000000011</v>
      </c>
      <c r="P192" s="6">
        <v>988.82000000000016</v>
      </c>
      <c r="Q192" s="6">
        <v>994.2800000000002</v>
      </c>
      <c r="R192" s="6">
        <v>999.74000000000024</v>
      </c>
    </row>
    <row r="193" spans="1:20" ht="26.4" x14ac:dyDescent="0.25">
      <c r="B193" s="4" t="s">
        <v>4</v>
      </c>
      <c r="C193" s="6">
        <f>C192*C194/100</f>
        <v>422.3</v>
      </c>
      <c r="D193" s="6">
        <f>D192*D194/100</f>
        <v>438.24</v>
      </c>
      <c r="E193" s="6">
        <v>458</v>
      </c>
      <c r="F193" s="6">
        <f t="shared" ref="F193" si="261">F192*F194/100</f>
        <v>581.51710000000026</v>
      </c>
      <c r="G193" s="6">
        <f t="shared" ref="G193" si="262">G192*G194/100</f>
        <v>637.84940000000029</v>
      </c>
      <c r="H193" s="6">
        <f t="shared" ref="H193" si="263">H192*H194/100</f>
        <v>673.34001000000023</v>
      </c>
      <c r="I193" s="6">
        <f t="shared" ref="I193" si="264">I192*I194/100</f>
        <v>720.43704000000025</v>
      </c>
      <c r="J193" s="6">
        <f t="shared" ref="J193" si="265">J192*J194/100</f>
        <v>773.09265000000028</v>
      </c>
      <c r="K193" s="6">
        <f t="shared" ref="K193" si="266">K192*K194/100</f>
        <v>805.59090000000026</v>
      </c>
      <c r="L193" s="6">
        <f t="shared" ref="L193" si="267">L192*L194/100</f>
        <v>833.09680000000026</v>
      </c>
      <c r="M193" s="6">
        <f t="shared" ref="M193" si="268">M192*M194/100</f>
        <v>864.16798000000028</v>
      </c>
      <c r="N193" s="6">
        <f t="shared" ref="N193" si="269">N192*N194/100</f>
        <v>894.45650000000012</v>
      </c>
      <c r="O193" s="6">
        <f t="shared" ref="O193" si="270">O192*O194/100</f>
        <v>908.06338000000005</v>
      </c>
      <c r="P193" s="6">
        <f t="shared" ref="P193" si="271">P192*P194/100</f>
        <v>916.63614000000018</v>
      </c>
      <c r="Q193" s="6">
        <f t="shared" ref="Q193" si="272">Q192*Q194/100</f>
        <v>921.69756000000018</v>
      </c>
      <c r="R193" s="6">
        <f t="shared" ref="R193" si="273">R192*R194/100</f>
        <v>927.75872000000015</v>
      </c>
    </row>
    <row r="194" spans="1:20" x14ac:dyDescent="0.25">
      <c r="B194" s="4" t="s">
        <v>5</v>
      </c>
      <c r="C194" s="6">
        <v>82</v>
      </c>
      <c r="D194" s="6">
        <v>83</v>
      </c>
      <c r="E194" s="6">
        <v>86</v>
      </c>
      <c r="F194" s="6">
        <v>89</v>
      </c>
      <c r="G194" s="6">
        <v>89.8</v>
      </c>
      <c r="H194" s="6">
        <v>90.3</v>
      </c>
      <c r="I194" s="6">
        <v>90.9</v>
      </c>
      <c r="J194" s="6">
        <v>91.5</v>
      </c>
      <c r="K194" s="6">
        <v>91.8</v>
      </c>
      <c r="L194" s="6">
        <v>92</v>
      </c>
      <c r="M194" s="6">
        <v>92.3</v>
      </c>
      <c r="N194" s="6">
        <v>92.5</v>
      </c>
      <c r="O194" s="6">
        <v>92.6</v>
      </c>
      <c r="P194" s="6">
        <v>92.7</v>
      </c>
      <c r="Q194" s="6">
        <v>92.7</v>
      </c>
      <c r="R194" s="6">
        <v>92.8</v>
      </c>
    </row>
    <row r="195" spans="1:20" x14ac:dyDescent="0.25">
      <c r="B195" s="4" t="s">
        <v>6</v>
      </c>
      <c r="C195" s="3">
        <f>C199/C193*1000</f>
        <v>126.24278656671392</v>
      </c>
      <c r="D195" s="3">
        <f>D199/D193*1000</f>
        <v>119.85676204194111</v>
      </c>
      <c r="E195" s="3">
        <f>E199/E193*1000</f>
        <v>111.31752273878742</v>
      </c>
      <c r="F195" s="3">
        <v>113.52000025934761</v>
      </c>
      <c r="G195" s="3">
        <v>114.01846177785933</v>
      </c>
      <c r="H195" s="3">
        <v>114.51692329637105</v>
      </c>
      <c r="I195" s="3">
        <v>115.01538481488276</v>
      </c>
      <c r="J195" s="3">
        <v>115.51384633339448</v>
      </c>
      <c r="K195" s="3">
        <v>116.0123078519062</v>
      </c>
      <c r="L195" s="3">
        <v>116.51076937041792</v>
      </c>
      <c r="M195" s="3">
        <v>117.00923088892964</v>
      </c>
      <c r="N195" s="3">
        <v>117.50769240744135</v>
      </c>
      <c r="O195" s="3">
        <v>118.00615392595307</v>
      </c>
      <c r="P195" s="3">
        <v>118.50461544446479</v>
      </c>
      <c r="Q195" s="3">
        <v>119.00307696297651</v>
      </c>
      <c r="R195" s="3">
        <v>119.50153848148823</v>
      </c>
    </row>
    <row r="196" spans="1:20" x14ac:dyDescent="0.25">
      <c r="B196" s="4" t="s">
        <v>7</v>
      </c>
      <c r="C196" s="10">
        <f>+C198+C200</f>
        <v>19608</v>
      </c>
      <c r="D196" s="10">
        <f>+D198+D200</f>
        <v>19333</v>
      </c>
      <c r="E196" s="10">
        <f t="shared" ref="E196" si="274">+E198+E200</f>
        <v>18715.828729281766</v>
      </c>
      <c r="F196" s="10">
        <f t="shared" ref="F196:R196" si="275">+F198+F200</f>
        <v>24527.058611470329</v>
      </c>
      <c r="G196" s="10">
        <f t="shared" si="275"/>
        <v>26910.211713384648</v>
      </c>
      <c r="H196" s="10">
        <f t="shared" si="275"/>
        <v>29163.5</v>
      </c>
      <c r="I196" s="10">
        <f t="shared" si="275"/>
        <v>31266.390337530713</v>
      </c>
      <c r="J196" s="10">
        <f t="shared" si="275"/>
        <v>34039.063439929094</v>
      </c>
      <c r="K196" s="10">
        <f t="shared" si="275"/>
        <v>35884.796174618881</v>
      </c>
      <c r="L196" s="10">
        <f t="shared" si="275"/>
        <v>37533.198180860156</v>
      </c>
      <c r="M196" s="10">
        <f t="shared" si="275"/>
        <v>39344.320835702223</v>
      </c>
      <c r="N196" s="10">
        <f t="shared" si="275"/>
        <v>41140.420054224196</v>
      </c>
      <c r="O196" s="10">
        <f t="shared" si="275"/>
        <v>42105.329453102451</v>
      </c>
      <c r="P196" s="10">
        <f t="shared" si="275"/>
        <v>42787.34884471749</v>
      </c>
      <c r="Q196" s="10">
        <f t="shared" si="275"/>
        <v>43173.968669282709</v>
      </c>
      <c r="R196" s="10">
        <f t="shared" si="275"/>
        <v>43725.505542939551</v>
      </c>
    </row>
    <row r="197" spans="1:20" x14ac:dyDescent="0.25">
      <c r="B197" s="4" t="s">
        <v>8</v>
      </c>
      <c r="C197" s="6">
        <f t="shared" ref="C197:D197" si="276">C199+C201</f>
        <v>53.720547945205482</v>
      </c>
      <c r="D197" s="6">
        <f t="shared" si="276"/>
        <v>52.967123287671228</v>
      </c>
      <c r="E197" s="6">
        <f>E196/365</f>
        <v>51.276243093922645</v>
      </c>
      <c r="F197" s="24">
        <f>+F199+F201</f>
        <v>67.013821342815106</v>
      </c>
      <c r="G197" s="24">
        <f t="shared" ref="G197:H197" si="277">+G199+G201</f>
        <v>73.726607433930539</v>
      </c>
      <c r="H197" s="24">
        <f t="shared" si="277"/>
        <v>79.900000000000006</v>
      </c>
      <c r="I197" s="6">
        <f t="shared" ref="I197:R197" si="278">+I199+I201+I202</f>
        <v>85.661343390495105</v>
      </c>
      <c r="J197" s="6">
        <f t="shared" si="278"/>
        <v>93.002905573576768</v>
      </c>
      <c r="K197" s="6">
        <f t="shared" si="278"/>
        <v>98.058459493494212</v>
      </c>
      <c r="L197" s="6">
        <f t="shared" si="278"/>
        <v>102.56474912803321</v>
      </c>
      <c r="M197" s="6">
        <f t="shared" si="278"/>
        <v>107.51563069863997</v>
      </c>
      <c r="N197" s="6">
        <f t="shared" si="278"/>
        <v>112.40551927383659</v>
      </c>
      <c r="O197" s="6">
        <f t="shared" si="278"/>
        <v>115.35706699480123</v>
      </c>
      <c r="P197" s="6">
        <f t="shared" si="278"/>
        <v>117.2256132731986</v>
      </c>
      <c r="Q197" s="6">
        <f t="shared" si="278"/>
        <v>118.28484566926768</v>
      </c>
      <c r="R197" s="6">
        <f t="shared" si="278"/>
        <v>119.46859437961626</v>
      </c>
    </row>
    <row r="198" spans="1:20" x14ac:dyDescent="0.25">
      <c r="B198" s="4" t="s">
        <v>9</v>
      </c>
      <c r="C198" s="6">
        <v>19459</v>
      </c>
      <c r="D198" s="6">
        <v>19172</v>
      </c>
      <c r="E198" s="6">
        <f>9228/181*365</f>
        <v>18608.950276243093</v>
      </c>
      <c r="F198" s="6">
        <f>F199*366</f>
        <v>24161.058611470329</v>
      </c>
      <c r="G198" s="6">
        <f t="shared" ref="G198:Q198" si="279">G199*365</f>
        <v>26545.211713384648</v>
      </c>
      <c r="H198" s="6">
        <f t="shared" si="279"/>
        <v>28470</v>
      </c>
      <c r="I198" s="6">
        <f t="shared" si="279"/>
        <v>30244.390337530713</v>
      </c>
      <c r="J198" s="6">
        <f>J199*366</f>
        <v>32684.863439929097</v>
      </c>
      <c r="K198" s="6">
        <f>K199*366</f>
        <v>34205.796174618881</v>
      </c>
      <c r="L198" s="6">
        <f t="shared" ref="L198" si="280">L199*366</f>
        <v>35525.698180860156</v>
      </c>
      <c r="M198" s="6">
        <f t="shared" ref="M198" si="281">M199*366</f>
        <v>37008.320835702223</v>
      </c>
      <c r="N198" s="6">
        <f t="shared" ref="N198" si="282">N199*366</f>
        <v>38468.620054224193</v>
      </c>
      <c r="O198" s="6">
        <f t="shared" si="279"/>
        <v>39112.329453102451</v>
      </c>
      <c r="P198" s="6">
        <f t="shared" si="279"/>
        <v>39648.34884471749</v>
      </c>
      <c r="Q198" s="6">
        <f t="shared" si="279"/>
        <v>40034.968669282709</v>
      </c>
      <c r="R198" s="6">
        <f>R199*366</f>
        <v>40577.905542939552</v>
      </c>
    </row>
    <row r="199" spans="1:20" x14ac:dyDescent="0.25">
      <c r="B199" s="4" t="s">
        <v>10</v>
      </c>
      <c r="C199" s="13">
        <f>C198/365</f>
        <v>53.31232876712329</v>
      </c>
      <c r="D199" s="13">
        <f>D198/365</f>
        <v>52.526027397260272</v>
      </c>
      <c r="E199" s="6">
        <f>E198/365</f>
        <v>50.983425414364639</v>
      </c>
      <c r="F199" s="6">
        <f t="shared" ref="F199:R199" si="283">F193*F195/1000</f>
        <v>66.013821342815106</v>
      </c>
      <c r="G199" s="6">
        <f t="shared" si="283"/>
        <v>72.726607433930539</v>
      </c>
      <c r="H199" s="6">
        <v>78</v>
      </c>
      <c r="I199" s="6">
        <f t="shared" si="283"/>
        <v>82.861343390495108</v>
      </c>
      <c r="J199" s="6">
        <f t="shared" si="283"/>
        <v>89.302905573576766</v>
      </c>
      <c r="K199" s="6">
        <f t="shared" si="283"/>
        <v>93.458459493494217</v>
      </c>
      <c r="L199" s="6">
        <f t="shared" si="283"/>
        <v>97.064749128033213</v>
      </c>
      <c r="M199" s="6">
        <f t="shared" si="283"/>
        <v>101.11563069863996</v>
      </c>
      <c r="N199" s="6">
        <f t="shared" si="283"/>
        <v>105.10551927383659</v>
      </c>
      <c r="O199" s="6">
        <f t="shared" si="283"/>
        <v>107.15706699480123</v>
      </c>
      <c r="P199" s="6">
        <f t="shared" si="283"/>
        <v>108.62561327319861</v>
      </c>
      <c r="Q199" s="6">
        <f t="shared" si="283"/>
        <v>109.68484566926769</v>
      </c>
      <c r="R199" s="6">
        <f t="shared" si="283"/>
        <v>110.86859437961627</v>
      </c>
    </row>
    <row r="200" spans="1:20" x14ac:dyDescent="0.25">
      <c r="B200" s="4" t="s">
        <v>11</v>
      </c>
      <c r="C200" s="13">
        <v>149</v>
      </c>
      <c r="D200" s="13">
        <v>161</v>
      </c>
      <c r="E200" s="6">
        <f>53/181*365</f>
        <v>106.87845303867402</v>
      </c>
      <c r="F200" s="6">
        <f>F201*366</f>
        <v>366</v>
      </c>
      <c r="G200" s="6">
        <f t="shared" ref="G200:Q200" si="284">G201*365</f>
        <v>365</v>
      </c>
      <c r="H200" s="6">
        <f t="shared" si="284"/>
        <v>693.5</v>
      </c>
      <c r="I200" s="6">
        <f t="shared" si="284"/>
        <v>1021.9999999999999</v>
      </c>
      <c r="J200" s="6">
        <f>J201*366</f>
        <v>1354.1999999999998</v>
      </c>
      <c r="K200" s="6">
        <f t="shared" si="284"/>
        <v>1678.9999999999998</v>
      </c>
      <c r="L200" s="6">
        <f t="shared" si="284"/>
        <v>2007.5</v>
      </c>
      <c r="M200" s="6">
        <f t="shared" si="284"/>
        <v>2336</v>
      </c>
      <c r="N200" s="6">
        <f t="shared" ref="N200" si="285">N201*366</f>
        <v>2671.8</v>
      </c>
      <c r="O200" s="6">
        <f t="shared" si="284"/>
        <v>2993.0000000000005</v>
      </c>
      <c r="P200" s="6">
        <f t="shared" si="284"/>
        <v>3139</v>
      </c>
      <c r="Q200" s="6">
        <f t="shared" si="284"/>
        <v>3139</v>
      </c>
      <c r="R200" s="6">
        <f>R201*366</f>
        <v>3147.6</v>
      </c>
    </row>
    <row r="201" spans="1:20" x14ac:dyDescent="0.25">
      <c r="B201" s="4" t="s">
        <v>12</v>
      </c>
      <c r="C201" s="37">
        <f>C200/365</f>
        <v>0.40821917808219177</v>
      </c>
      <c r="D201" s="37">
        <f>D200/365</f>
        <v>0.44109589041095892</v>
      </c>
      <c r="E201" s="7">
        <f>E200/365</f>
        <v>0.29281767955801102</v>
      </c>
      <c r="F201" s="16">
        <v>1</v>
      </c>
      <c r="G201" s="16">
        <v>1</v>
      </c>
      <c r="H201" s="16">
        <f>+G201+0.9</f>
        <v>1.9</v>
      </c>
      <c r="I201" s="16">
        <f t="shared" ref="I201:N201" si="286">+H201+0.9</f>
        <v>2.8</v>
      </c>
      <c r="J201" s="16">
        <f t="shared" si="286"/>
        <v>3.6999999999999997</v>
      </c>
      <c r="K201" s="16">
        <f t="shared" si="286"/>
        <v>4.5999999999999996</v>
      </c>
      <c r="L201" s="16">
        <f t="shared" si="286"/>
        <v>5.5</v>
      </c>
      <c r="M201" s="16">
        <f t="shared" si="286"/>
        <v>6.4</v>
      </c>
      <c r="N201" s="16">
        <f t="shared" si="286"/>
        <v>7.3000000000000007</v>
      </c>
      <c r="O201" s="16">
        <f>+N201+0.9</f>
        <v>8.2000000000000011</v>
      </c>
      <c r="P201" s="16">
        <v>8.6</v>
      </c>
      <c r="Q201" s="16">
        <v>8.6</v>
      </c>
      <c r="R201" s="16">
        <v>8.6</v>
      </c>
      <c r="T201" s="35"/>
    </row>
    <row r="204" spans="1:20" ht="15.6" x14ac:dyDescent="0.3">
      <c r="A204" s="46">
        <v>15</v>
      </c>
      <c r="B204" s="53" t="s">
        <v>30</v>
      </c>
      <c r="C204" s="53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</row>
    <row r="205" spans="1:20" x14ac:dyDescent="0.25">
      <c r="B205" s="2" t="s">
        <v>1</v>
      </c>
      <c r="C205" s="18">
        <v>2021</v>
      </c>
      <c r="D205" s="18">
        <v>2022</v>
      </c>
      <c r="E205" s="18" t="s">
        <v>2</v>
      </c>
      <c r="F205" s="18">
        <v>2024</v>
      </c>
      <c r="G205" s="18">
        <v>2025</v>
      </c>
      <c r="H205" s="18">
        <v>2026</v>
      </c>
      <c r="I205" s="18">
        <v>2027</v>
      </c>
      <c r="J205" s="18">
        <v>2028</v>
      </c>
      <c r="K205" s="18">
        <v>2029</v>
      </c>
      <c r="L205" s="18">
        <v>2030</v>
      </c>
      <c r="M205" s="18">
        <v>2031</v>
      </c>
      <c r="N205" s="18">
        <v>2032</v>
      </c>
      <c r="O205" s="19">
        <v>2033</v>
      </c>
      <c r="P205" s="19">
        <v>2034</v>
      </c>
      <c r="Q205" s="19">
        <v>2035</v>
      </c>
      <c r="R205" s="19">
        <v>2036</v>
      </c>
    </row>
    <row r="206" spans="1:20" x14ac:dyDescent="0.25">
      <c r="B206" s="4" t="s">
        <v>3</v>
      </c>
      <c r="C206" s="4">
        <v>142</v>
      </c>
      <c r="D206" s="4">
        <v>116</v>
      </c>
      <c r="E206" s="6">
        <v>116</v>
      </c>
      <c r="F206" s="6">
        <v>319.81599999999929</v>
      </c>
      <c r="G206" s="6">
        <v>400.91199999999901</v>
      </c>
      <c r="H206" s="6">
        <v>482.00799999999873</v>
      </c>
      <c r="I206" s="6">
        <v>555.29199999999844</v>
      </c>
      <c r="J206" s="6">
        <v>624.97599999999818</v>
      </c>
      <c r="K206" s="6">
        <v>694.65999999999792</v>
      </c>
      <c r="L206" s="6">
        <v>826.8399999999973</v>
      </c>
      <c r="M206" s="6">
        <v>959.01999999999668</v>
      </c>
      <c r="N206" s="6">
        <v>1091.1999999999962</v>
      </c>
      <c r="O206" s="6">
        <v>1091.1999999999962</v>
      </c>
      <c r="P206" s="6">
        <v>1091.1999999999962</v>
      </c>
      <c r="Q206" s="6">
        <v>1091.1999999999962</v>
      </c>
      <c r="R206" s="6">
        <v>1091.1999999999962</v>
      </c>
    </row>
    <row r="207" spans="1:20" ht="26.4" x14ac:dyDescent="0.25">
      <c r="B207" s="4" t="s">
        <v>4</v>
      </c>
      <c r="C207" s="6">
        <f>C206*C208/100</f>
        <v>133.47999999999999</v>
      </c>
      <c r="D207" s="6">
        <f>D206*D208/100</f>
        <v>112.52</v>
      </c>
      <c r="E207" s="6">
        <f t="shared" ref="E207" si="287">E206*E208/100</f>
        <v>114.60799999999999</v>
      </c>
      <c r="F207" s="6">
        <f t="shared" ref="F207" si="288">F206*F208/100</f>
        <v>316.93765599999932</v>
      </c>
      <c r="G207" s="6">
        <f t="shared" ref="G207" si="289">G206*G208/100</f>
        <v>398.10561599999897</v>
      </c>
      <c r="H207" s="6">
        <f t="shared" ref="H207" si="290">H206*H208/100</f>
        <v>479.1159519999988</v>
      </c>
      <c r="I207" s="6">
        <f t="shared" ref="I207" si="291">I206*I208/100</f>
        <v>552.5155399999984</v>
      </c>
      <c r="J207" s="6">
        <f t="shared" ref="J207" si="292">J206*J208/100</f>
        <v>621.85111999999822</v>
      </c>
      <c r="K207" s="6">
        <f t="shared" ref="K207" si="293">K206*K208/100</f>
        <v>691.88135999999793</v>
      </c>
      <c r="L207" s="6">
        <f t="shared" ref="L207" si="294">L206*L208/100</f>
        <v>824.35947999999723</v>
      </c>
      <c r="M207" s="6">
        <f t="shared" ref="M207" si="295">M206*M208/100</f>
        <v>956.14293999999677</v>
      </c>
      <c r="N207" s="6">
        <f t="shared" ref="N207" si="296">N206*N208/100</f>
        <v>1087.9263999999962</v>
      </c>
      <c r="O207" s="6">
        <f t="shared" ref="O207" si="297">O206*O208/100</f>
        <v>1087.9263999999962</v>
      </c>
      <c r="P207" s="6">
        <f t="shared" ref="P207" si="298">P206*P208/100</f>
        <v>1087.9263999999962</v>
      </c>
      <c r="Q207" s="6">
        <f t="shared" ref="Q207" si="299">Q206*Q208/100</f>
        <v>1087.9263999999962</v>
      </c>
      <c r="R207" s="6">
        <f t="shared" ref="R207" si="300">R206*R208/100</f>
        <v>1087.9263999999962</v>
      </c>
    </row>
    <row r="208" spans="1:20" x14ac:dyDescent="0.25">
      <c r="B208" s="4" t="s">
        <v>5</v>
      </c>
      <c r="C208" s="7">
        <v>94</v>
      </c>
      <c r="D208" s="7">
        <v>97</v>
      </c>
      <c r="E208" s="7">
        <v>98.8</v>
      </c>
      <c r="F208" s="7">
        <v>99.1</v>
      </c>
      <c r="G208" s="7">
        <v>99.3</v>
      </c>
      <c r="H208" s="7">
        <v>99.4</v>
      </c>
      <c r="I208" s="7">
        <v>99.5</v>
      </c>
      <c r="J208" s="7">
        <v>99.5</v>
      </c>
      <c r="K208" s="7">
        <v>99.6</v>
      </c>
      <c r="L208" s="7">
        <v>99.7</v>
      </c>
      <c r="M208" s="7">
        <v>99.7</v>
      </c>
      <c r="N208" s="7">
        <v>99.7</v>
      </c>
      <c r="O208" s="7">
        <v>99.7</v>
      </c>
      <c r="P208" s="7">
        <v>99.7</v>
      </c>
      <c r="Q208" s="7">
        <v>99.7</v>
      </c>
      <c r="R208" s="7">
        <v>99.7</v>
      </c>
    </row>
    <row r="209" spans="1:20" x14ac:dyDescent="0.25">
      <c r="B209" s="4" t="s">
        <v>6</v>
      </c>
      <c r="C209" s="3">
        <f>C213/C207*1000</f>
        <v>93.944606138726854</v>
      </c>
      <c r="D209" s="3">
        <f>D213/D207*1000</f>
        <v>104.43196704147574</v>
      </c>
      <c r="E209" s="3">
        <f>E213/E207*1000</f>
        <v>108.99511994958748</v>
      </c>
      <c r="F209" s="3">
        <f>+E209+1.65</f>
        <v>110.64511994958748</v>
      </c>
      <c r="G209" s="3">
        <f t="shared" ref="G209:R209" si="301">+F209+1.65</f>
        <v>112.29511994958749</v>
      </c>
      <c r="H209" s="3">
        <f t="shared" si="301"/>
        <v>113.94511994958749</v>
      </c>
      <c r="I209" s="3">
        <f t="shared" si="301"/>
        <v>115.5951199495875</v>
      </c>
      <c r="J209" s="3">
        <f t="shared" si="301"/>
        <v>117.2451199495875</v>
      </c>
      <c r="K209" s="3">
        <f t="shared" si="301"/>
        <v>118.89511994958751</v>
      </c>
      <c r="L209" s="3">
        <f t="shared" si="301"/>
        <v>120.54511994958752</v>
      </c>
      <c r="M209" s="3">
        <f t="shared" si="301"/>
        <v>122.19511994958752</v>
      </c>
      <c r="N209" s="3">
        <f t="shared" si="301"/>
        <v>123.84511994958753</v>
      </c>
      <c r="O209" s="3">
        <f t="shared" si="301"/>
        <v>125.49511994958753</v>
      </c>
      <c r="P209" s="3">
        <f t="shared" si="301"/>
        <v>127.14511994958754</v>
      </c>
      <c r="Q209" s="3">
        <f t="shared" si="301"/>
        <v>128.79511994958753</v>
      </c>
      <c r="R209" s="3">
        <f t="shared" si="301"/>
        <v>130.44511994958754</v>
      </c>
    </row>
    <row r="210" spans="1:20" x14ac:dyDescent="0.25">
      <c r="B210" s="4" t="s">
        <v>7</v>
      </c>
      <c r="C210" s="10">
        <f>+C212+C214</f>
        <v>4577</v>
      </c>
      <c r="D210" s="10">
        <f>+D212+D214</f>
        <v>4289</v>
      </c>
      <c r="E210" s="10">
        <f t="shared" ref="E210" si="302">+E212+E214</f>
        <v>4559.4751381215474</v>
      </c>
      <c r="F210" s="10">
        <f t="shared" ref="F210:R210" si="303">+F212+F214</f>
        <v>12834.743417065934</v>
      </c>
      <c r="G210" s="10">
        <f t="shared" si="303"/>
        <v>16317.441033983368</v>
      </c>
      <c r="H210" s="10">
        <f t="shared" si="303"/>
        <v>19926.417486446244</v>
      </c>
      <c r="I210" s="10">
        <f t="shared" si="303"/>
        <v>23311.856543913487</v>
      </c>
      <c r="J210" s="10">
        <f t="shared" si="303"/>
        <v>32174.697350797753</v>
      </c>
      <c r="K210" s="10">
        <f t="shared" si="303"/>
        <v>37407.642127438558</v>
      </c>
      <c r="L210" s="10">
        <f t="shared" si="303"/>
        <v>45495.339537733606</v>
      </c>
      <c r="M210" s="10">
        <f t="shared" si="303"/>
        <v>53711.976454663818</v>
      </c>
      <c r="N210" s="10">
        <f t="shared" si="303"/>
        <v>62122.781434582022</v>
      </c>
      <c r="O210" s="10">
        <f t="shared" si="303"/>
        <v>64433.250733477696</v>
      </c>
      <c r="P210" s="10">
        <f t="shared" si="303"/>
        <v>65088.454407877689</v>
      </c>
      <c r="Q210" s="10">
        <f t="shared" si="303"/>
        <v>71218.658082277689</v>
      </c>
      <c r="R210" s="10">
        <f t="shared" si="303"/>
        <v>77560.776446422009</v>
      </c>
    </row>
    <row r="211" spans="1:20" x14ac:dyDescent="0.25">
      <c r="B211" s="4" t="s">
        <v>8</v>
      </c>
      <c r="C211" s="6">
        <f t="shared" ref="C211:D211" si="304">C213+C215</f>
        <v>12.53972602739726</v>
      </c>
      <c r="D211" s="6">
        <f t="shared" si="304"/>
        <v>11.75068493150685</v>
      </c>
      <c r="E211" s="6">
        <f>E210/365</f>
        <v>12.491712707182321</v>
      </c>
      <c r="F211" s="24">
        <f>+F213+F215</f>
        <v>35.067604964661022</v>
      </c>
      <c r="G211" s="24">
        <f t="shared" ref="G211:H211" si="305">+G213+G215</f>
        <v>44.7053179013243</v>
      </c>
      <c r="H211" s="24">
        <f t="shared" si="305"/>
        <v>54.592924620400673</v>
      </c>
      <c r="I211" s="6">
        <f t="shared" ref="I211:R211" si="306">+I213+I215+I216</f>
        <v>63.868100120310928</v>
      </c>
      <c r="J211" s="6">
        <f t="shared" si="306"/>
        <v>87.909009155185117</v>
      </c>
      <c r="K211" s="6">
        <f t="shared" si="306"/>
        <v>102.26131728808349</v>
      </c>
      <c r="L211" s="6">
        <f t="shared" si="306"/>
        <v>124.37251239817925</v>
      </c>
      <c r="M211" s="6">
        <f t="shared" si="306"/>
        <v>146.83600124225086</v>
      </c>
      <c r="N211" s="6">
        <f t="shared" si="306"/>
        <v>169.73437550432246</v>
      </c>
      <c r="O211" s="6">
        <f t="shared" si="306"/>
        <v>176.52945406432247</v>
      </c>
      <c r="P211" s="6">
        <f t="shared" si="306"/>
        <v>193.32453262432244</v>
      </c>
      <c r="Q211" s="6">
        <f t="shared" si="306"/>
        <v>210.11961118432245</v>
      </c>
      <c r="R211" s="6">
        <f t="shared" si="306"/>
        <v>231.91468974432243</v>
      </c>
    </row>
    <row r="212" spans="1:20" x14ac:dyDescent="0.25">
      <c r="B212" s="4" t="s">
        <v>9</v>
      </c>
      <c r="C212" s="6">
        <v>4577</v>
      </c>
      <c r="D212" s="6">
        <v>4289</v>
      </c>
      <c r="E212" s="6">
        <f>2261/181*365</f>
        <v>4559.4751381215474</v>
      </c>
      <c r="F212" s="6">
        <f>F213*366</f>
        <v>12834.743417065934</v>
      </c>
      <c r="G212" s="6">
        <f t="shared" ref="G212:Q212" si="307">G213*365</f>
        <v>16317.441033983368</v>
      </c>
      <c r="H212" s="6">
        <f t="shared" si="307"/>
        <v>19926.417486446244</v>
      </c>
      <c r="I212" s="6">
        <f t="shared" si="307"/>
        <v>23311.856543913487</v>
      </c>
      <c r="J212" s="6">
        <f>J213*366</f>
        <v>26684.697350797753</v>
      </c>
      <c r="K212" s="6">
        <f>K213*366</f>
        <v>30107.642127438558</v>
      </c>
      <c r="L212" s="6">
        <f t="shared" ref="L212" si="308">L213*366</f>
        <v>36370.339537733606</v>
      </c>
      <c r="M212" s="6">
        <f t="shared" ref="M212" si="309">M213*366</f>
        <v>42761.976454663818</v>
      </c>
      <c r="N212" s="6">
        <f t="shared" ref="N212" si="310">N213*366</f>
        <v>49312.781434582022</v>
      </c>
      <c r="O212" s="6">
        <f t="shared" si="307"/>
        <v>49833.250733477696</v>
      </c>
      <c r="P212" s="6">
        <f t="shared" si="307"/>
        <v>50488.454407877689</v>
      </c>
      <c r="Q212" s="6">
        <f t="shared" si="307"/>
        <v>51143.658082277696</v>
      </c>
      <c r="R212" s="6">
        <f>R213*366</f>
        <v>51940.776446422009</v>
      </c>
    </row>
    <row r="213" spans="1:20" x14ac:dyDescent="0.25">
      <c r="B213" s="4" t="s">
        <v>10</v>
      </c>
      <c r="C213" s="13">
        <f>C212/365</f>
        <v>12.53972602739726</v>
      </c>
      <c r="D213" s="13">
        <f>D212/365</f>
        <v>11.75068493150685</v>
      </c>
      <c r="E213" s="6">
        <f>E212/365</f>
        <v>12.491712707182321</v>
      </c>
      <c r="F213" s="6">
        <f t="shared" ref="F213:R213" si="311">F207*F209/1000</f>
        <v>35.067604964661022</v>
      </c>
      <c r="G213" s="6">
        <f t="shared" si="311"/>
        <v>44.7053179013243</v>
      </c>
      <c r="H213" s="6">
        <f t="shared" si="311"/>
        <v>54.592924620400673</v>
      </c>
      <c r="I213" s="6">
        <f t="shared" si="311"/>
        <v>63.868100120310928</v>
      </c>
      <c r="J213" s="6">
        <f t="shared" si="311"/>
        <v>72.909009155185117</v>
      </c>
      <c r="K213" s="6">
        <f t="shared" si="311"/>
        <v>82.26131728808349</v>
      </c>
      <c r="L213" s="6">
        <f t="shared" si="311"/>
        <v>99.372512398179254</v>
      </c>
      <c r="M213" s="6">
        <f t="shared" si="311"/>
        <v>116.83600124225087</v>
      </c>
      <c r="N213" s="6">
        <f t="shared" si="311"/>
        <v>134.73437550432246</v>
      </c>
      <c r="O213" s="6">
        <f t="shared" si="311"/>
        <v>136.52945406432247</v>
      </c>
      <c r="P213" s="6">
        <f t="shared" si="311"/>
        <v>138.32453262432244</v>
      </c>
      <c r="Q213" s="6">
        <f t="shared" si="311"/>
        <v>140.11961118432245</v>
      </c>
      <c r="R213" s="6">
        <f t="shared" si="311"/>
        <v>141.91468974432243</v>
      </c>
    </row>
    <row r="214" spans="1:20" x14ac:dyDescent="0.25">
      <c r="B214" s="4" t="s">
        <v>11</v>
      </c>
      <c r="C214" s="13">
        <v>0</v>
      </c>
      <c r="D214" s="13">
        <v>0</v>
      </c>
      <c r="E214" s="6">
        <v>0</v>
      </c>
      <c r="F214" s="6">
        <f>F215*366</f>
        <v>0</v>
      </c>
      <c r="G214" s="6">
        <f t="shared" ref="G214:Q214" si="312">G215*365</f>
        <v>0</v>
      </c>
      <c r="H214" s="6">
        <f t="shared" si="312"/>
        <v>0</v>
      </c>
      <c r="I214" s="6">
        <f t="shared" si="312"/>
        <v>0</v>
      </c>
      <c r="J214" s="6">
        <f>J215*366</f>
        <v>5490</v>
      </c>
      <c r="K214" s="6">
        <f t="shared" si="312"/>
        <v>7300</v>
      </c>
      <c r="L214" s="6">
        <f t="shared" si="312"/>
        <v>9125</v>
      </c>
      <c r="M214" s="6">
        <f t="shared" si="312"/>
        <v>10950</v>
      </c>
      <c r="N214" s="6">
        <f t="shared" ref="N214" si="313">N215*366</f>
        <v>12810</v>
      </c>
      <c r="O214" s="6">
        <f t="shared" si="312"/>
        <v>14600</v>
      </c>
      <c r="P214" s="6">
        <f t="shared" si="312"/>
        <v>14600</v>
      </c>
      <c r="Q214" s="6">
        <f t="shared" si="312"/>
        <v>20075</v>
      </c>
      <c r="R214" s="6">
        <f>R215*366</f>
        <v>25620</v>
      </c>
    </row>
    <row r="215" spans="1:20" x14ac:dyDescent="0.25">
      <c r="B215" s="4" t="s">
        <v>12</v>
      </c>
      <c r="C215" s="39">
        <f>C214/365</f>
        <v>0</v>
      </c>
      <c r="D215" s="39">
        <f>D214/365</f>
        <v>0</v>
      </c>
      <c r="E215" s="6">
        <f>E214/181</f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15</v>
      </c>
      <c r="K215" s="39">
        <f>+J215+5</f>
        <v>20</v>
      </c>
      <c r="L215" s="39">
        <f t="shared" ref="L215:O215" si="314">+K215+5</f>
        <v>25</v>
      </c>
      <c r="M215" s="39">
        <f t="shared" si="314"/>
        <v>30</v>
      </c>
      <c r="N215" s="39">
        <f t="shared" si="314"/>
        <v>35</v>
      </c>
      <c r="O215" s="39">
        <f t="shared" si="314"/>
        <v>40</v>
      </c>
      <c r="P215" s="39">
        <v>40</v>
      </c>
      <c r="Q215" s="39">
        <v>55</v>
      </c>
      <c r="R215" s="39">
        <v>70</v>
      </c>
      <c r="T215" s="35"/>
    </row>
    <row r="216" spans="1:20" ht="26.4" x14ac:dyDescent="0.25">
      <c r="B216" s="4" t="s">
        <v>13</v>
      </c>
      <c r="C216" s="6"/>
      <c r="D216" s="6"/>
      <c r="E216" s="6"/>
      <c r="F216" s="6"/>
      <c r="G216" s="6"/>
      <c r="H216" s="6"/>
      <c r="I216" s="6"/>
      <c r="J216" s="13"/>
      <c r="K216" s="13"/>
      <c r="L216" s="13"/>
      <c r="M216" s="13"/>
      <c r="N216" s="13"/>
      <c r="O216" s="13"/>
      <c r="P216" s="13">
        <v>15</v>
      </c>
      <c r="Q216" s="13">
        <v>15</v>
      </c>
      <c r="R216" s="13">
        <v>20</v>
      </c>
      <c r="T216" s="35"/>
    </row>
    <row r="219" spans="1:20" ht="15.6" x14ac:dyDescent="0.3">
      <c r="A219" s="46">
        <v>16</v>
      </c>
      <c r="B219" s="53" t="s">
        <v>31</v>
      </c>
      <c r="C219" s="53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</row>
    <row r="220" spans="1:20" x14ac:dyDescent="0.25">
      <c r="B220" s="2" t="s">
        <v>1</v>
      </c>
      <c r="C220" s="18">
        <v>2021</v>
      </c>
      <c r="D220" s="18">
        <v>2022</v>
      </c>
      <c r="E220" s="18" t="s">
        <v>2</v>
      </c>
      <c r="F220" s="18">
        <v>2024</v>
      </c>
      <c r="G220" s="18">
        <v>2025</v>
      </c>
      <c r="H220" s="18">
        <v>2026</v>
      </c>
      <c r="I220" s="18">
        <v>2027</v>
      </c>
      <c r="J220" s="18">
        <v>2028</v>
      </c>
      <c r="K220" s="18">
        <v>2029</v>
      </c>
      <c r="L220" s="18">
        <v>2030</v>
      </c>
      <c r="M220" s="18">
        <v>2031</v>
      </c>
      <c r="N220" s="18">
        <v>2032</v>
      </c>
      <c r="O220" s="19">
        <v>2033</v>
      </c>
      <c r="P220" s="19">
        <v>2034</v>
      </c>
      <c r="Q220" s="19">
        <v>2035</v>
      </c>
      <c r="R220" s="19">
        <v>2036</v>
      </c>
    </row>
    <row r="221" spans="1:20" x14ac:dyDescent="0.25">
      <c r="B221" s="4" t="s">
        <v>3</v>
      </c>
      <c r="C221" s="4">
        <v>466</v>
      </c>
      <c r="D221" s="4">
        <v>473</v>
      </c>
      <c r="E221" s="6">
        <v>467.96</v>
      </c>
      <c r="F221" s="6">
        <v>469.91999999999996</v>
      </c>
      <c r="G221" s="6">
        <v>471.68399999999997</v>
      </c>
      <c r="H221" s="6">
        <v>473.44799999999998</v>
      </c>
      <c r="I221" s="6">
        <v>475.21199999999999</v>
      </c>
      <c r="J221" s="6">
        <v>476.976</v>
      </c>
      <c r="K221" s="6">
        <v>478.74</v>
      </c>
      <c r="L221" s="6">
        <v>480.50400000000002</v>
      </c>
      <c r="M221" s="6">
        <v>482.26800000000003</v>
      </c>
      <c r="N221" s="6">
        <v>484.03200000000004</v>
      </c>
      <c r="O221" s="6">
        <v>485.6</v>
      </c>
      <c r="P221" s="6">
        <v>485.6</v>
      </c>
      <c r="Q221" s="6">
        <v>485.6</v>
      </c>
      <c r="R221" s="6">
        <v>485.6</v>
      </c>
    </row>
    <row r="222" spans="1:20" ht="26.4" x14ac:dyDescent="0.25">
      <c r="B222" s="4" t="s">
        <v>4</v>
      </c>
      <c r="C222" s="6">
        <f>C221*C223/100</f>
        <v>466</v>
      </c>
      <c r="D222" s="6">
        <f>D221*D223/100</f>
        <v>473</v>
      </c>
      <c r="E222" s="6">
        <f t="shared" ref="E222" si="315">E221*E223/100</f>
        <v>466.08816000000002</v>
      </c>
      <c r="F222" s="6">
        <f t="shared" ref="F222" si="316">F221*F223/100</f>
        <v>466.16064</v>
      </c>
      <c r="G222" s="6">
        <f t="shared" ref="G222" si="317">G221*G223/100</f>
        <v>466.495476</v>
      </c>
      <c r="H222" s="6">
        <f t="shared" ref="H222" si="318">H221*H223/100</f>
        <v>466.81972799999994</v>
      </c>
      <c r="I222" s="6">
        <f t="shared" ref="I222" si="319">I221*I223/100</f>
        <v>466.65818400000006</v>
      </c>
      <c r="J222" s="6">
        <f t="shared" ref="J222" si="320">J221*J223/100</f>
        <v>466.95950400000004</v>
      </c>
      <c r="K222" s="6">
        <f t="shared" ref="K222" si="321">K221*K223/100</f>
        <v>467.25023999999996</v>
      </c>
      <c r="L222" s="6">
        <f t="shared" ref="L222" si="322">L221*L223/100</f>
        <v>467.53039200000001</v>
      </c>
      <c r="M222" s="6">
        <f t="shared" ref="M222" si="323">M221*M223/100</f>
        <v>467.31769200000002</v>
      </c>
      <c r="N222" s="6">
        <f t="shared" ref="N222" si="324">N221*N223/100</f>
        <v>467.57491200000004</v>
      </c>
      <c r="O222" s="6">
        <f t="shared" ref="O222" si="325">O221*O223/100</f>
        <v>467.63279999999997</v>
      </c>
      <c r="P222" s="6">
        <f t="shared" ref="P222" si="326">P221*P223/100</f>
        <v>467.63279999999997</v>
      </c>
      <c r="Q222" s="6">
        <f t="shared" ref="Q222" si="327">Q221*Q223/100</f>
        <v>467.63279999999997</v>
      </c>
      <c r="R222" s="6">
        <f t="shared" ref="R222" si="328">R221*R223/100</f>
        <v>467.63279999999997</v>
      </c>
    </row>
    <row r="223" spans="1:20" x14ac:dyDescent="0.25">
      <c r="B223" s="4" t="s">
        <v>5</v>
      </c>
      <c r="C223" s="7">
        <v>100</v>
      </c>
      <c r="D223" s="7">
        <v>100</v>
      </c>
      <c r="E223" s="7">
        <v>99.6</v>
      </c>
      <c r="F223" s="7">
        <v>99.2</v>
      </c>
      <c r="G223" s="7">
        <v>98.9</v>
      </c>
      <c r="H223" s="7">
        <v>98.6</v>
      </c>
      <c r="I223" s="7">
        <v>98.2</v>
      </c>
      <c r="J223" s="7">
        <v>97.9</v>
      </c>
      <c r="K223" s="7">
        <v>97.6</v>
      </c>
      <c r="L223" s="7">
        <v>97.3</v>
      </c>
      <c r="M223" s="7">
        <v>96.9</v>
      </c>
      <c r="N223" s="7">
        <v>96.6</v>
      </c>
      <c r="O223" s="7">
        <v>96.3</v>
      </c>
      <c r="P223" s="7">
        <v>96.3</v>
      </c>
      <c r="Q223" s="7">
        <v>96.3</v>
      </c>
      <c r="R223" s="7">
        <v>96.3</v>
      </c>
    </row>
    <row r="224" spans="1:20" x14ac:dyDescent="0.25">
      <c r="B224" s="4" t="s">
        <v>6</v>
      </c>
      <c r="C224" s="3">
        <f>C228/C222*1000</f>
        <v>110.51208183902639</v>
      </c>
      <c r="D224" s="3">
        <f>D228/D222*1000</f>
        <v>105.30858119262069</v>
      </c>
      <c r="E224" s="3">
        <v>113.02153874083589</v>
      </c>
      <c r="F224" s="3">
        <v>113.52000025934761</v>
      </c>
      <c r="G224" s="3">
        <v>114.01846177785933</v>
      </c>
      <c r="H224" s="3">
        <v>114.51692329637105</v>
      </c>
      <c r="I224" s="3">
        <v>115.01538481488276</v>
      </c>
      <c r="J224" s="3">
        <v>115.51384633339448</v>
      </c>
      <c r="K224" s="3">
        <v>116.0123078519062</v>
      </c>
      <c r="L224" s="3">
        <v>116.51076937041792</v>
      </c>
      <c r="M224" s="3">
        <v>117.00923088892964</v>
      </c>
      <c r="N224" s="3">
        <v>117.50769240744135</v>
      </c>
      <c r="O224" s="3">
        <v>118.00615392595307</v>
      </c>
      <c r="P224" s="3">
        <v>118.50461544446479</v>
      </c>
      <c r="Q224" s="3">
        <v>119.00307696297651</v>
      </c>
      <c r="R224" s="3">
        <v>119.50153848148823</v>
      </c>
    </row>
    <row r="225" spans="1:20" x14ac:dyDescent="0.25">
      <c r="B225" s="4" t="s">
        <v>7</v>
      </c>
      <c r="C225" s="10">
        <f>+C227+C229</f>
        <v>18797</v>
      </c>
      <c r="D225" s="10">
        <f>+D227+D229</f>
        <v>18181</v>
      </c>
      <c r="E225" s="10">
        <f t="shared" ref="E225" si="329">+E227+E229</f>
        <v>17840.635359116022</v>
      </c>
      <c r="F225" s="10">
        <f t="shared" ref="F225:R225" si="330">+F227+F229</f>
        <v>19368.19148637334</v>
      </c>
      <c r="G225" s="10">
        <f t="shared" si="330"/>
        <v>19414.020258945358</v>
      </c>
      <c r="H225" s="10">
        <f t="shared" si="330"/>
        <v>19512.447029382205</v>
      </c>
      <c r="I225" s="10">
        <f t="shared" si="330"/>
        <v>19590.597772567649</v>
      </c>
      <c r="J225" s="10">
        <f t="shared" si="330"/>
        <v>19742.145550364523</v>
      </c>
      <c r="K225" s="10">
        <f t="shared" si="330"/>
        <v>19839.680999353081</v>
      </c>
      <c r="L225" s="10">
        <f t="shared" si="330"/>
        <v>19936.871197406152</v>
      </c>
      <c r="M225" s="10">
        <f t="shared" si="330"/>
        <v>20013.057042145752</v>
      </c>
      <c r="N225" s="10">
        <f t="shared" si="330"/>
        <v>20109.375510844078</v>
      </c>
      <c r="O225" s="10">
        <f t="shared" si="330"/>
        <v>20141.995084832914</v>
      </c>
      <c r="P225" s="10">
        <f t="shared" si="330"/>
        <v>20227.075473624682</v>
      </c>
      <c r="Q225" s="10">
        <f t="shared" si="330"/>
        <v>20312.15586241645</v>
      </c>
      <c r="R225" s="10">
        <f t="shared" si="330"/>
        <v>20453.119090252625</v>
      </c>
    </row>
    <row r="226" spans="1:20" x14ac:dyDescent="0.25">
      <c r="B226" s="4" t="s">
        <v>8</v>
      </c>
      <c r="C226" s="6">
        <f t="shared" ref="C226:P226" si="331">C228+C230</f>
        <v>51.4986301369863</v>
      </c>
      <c r="D226" s="6">
        <f t="shared" si="331"/>
        <v>49.81095890410959</v>
      </c>
      <c r="E226" s="6">
        <f t="shared" si="331"/>
        <v>48.878453038674031</v>
      </c>
      <c r="F226" s="6">
        <f t="shared" si="331"/>
        <v>52.91855597369765</v>
      </c>
      <c r="G226" s="6">
        <f t="shared" si="331"/>
        <v>53.189096599850295</v>
      </c>
      <c r="H226" s="6">
        <f t="shared" si="331"/>
        <v>53.458758984608785</v>
      </c>
      <c r="I226" s="6">
        <f t="shared" si="331"/>
        <v>53.672870609774378</v>
      </c>
      <c r="J226" s="6">
        <f t="shared" si="331"/>
        <v>53.94028838897411</v>
      </c>
      <c r="K226" s="6">
        <f t="shared" si="331"/>
        <v>54.206778686757055</v>
      </c>
      <c r="L226" s="6">
        <f t="shared" si="331"/>
        <v>54.472325675973089</v>
      </c>
      <c r="M226" s="6">
        <f t="shared" si="331"/>
        <v>54.680483721709706</v>
      </c>
      <c r="N226" s="6">
        <f t="shared" si="331"/>
        <v>54.943648936732458</v>
      </c>
      <c r="O226" s="6">
        <f t="shared" si="331"/>
        <v>55.183548177624424</v>
      </c>
      <c r="P226" s="6">
        <f t="shared" si="331"/>
        <v>55.41664513321831</v>
      </c>
      <c r="Q226" s="6">
        <f>Q228+Q230</f>
        <v>55.649742088812197</v>
      </c>
      <c r="R226" s="6">
        <f>R228+R230</f>
        <v>55.882839044406083</v>
      </c>
    </row>
    <row r="227" spans="1:20" x14ac:dyDescent="0.25">
      <c r="B227" s="4" t="s">
        <v>9</v>
      </c>
      <c r="C227" s="6">
        <v>18797</v>
      </c>
      <c r="D227" s="6">
        <v>18181</v>
      </c>
      <c r="E227" s="6">
        <f>8847/181*365</f>
        <v>17840.635359116022</v>
      </c>
      <c r="F227" s="6">
        <f>F228*366</f>
        <v>19368.19148637334</v>
      </c>
      <c r="G227" s="6">
        <f t="shared" ref="G227:Q227" si="332">G228*365</f>
        <v>19414.020258945358</v>
      </c>
      <c r="H227" s="6">
        <f t="shared" si="332"/>
        <v>19512.447029382205</v>
      </c>
      <c r="I227" s="6">
        <f t="shared" si="332"/>
        <v>19590.597772567649</v>
      </c>
      <c r="J227" s="6">
        <f>J228*366</f>
        <v>19742.145550364523</v>
      </c>
      <c r="K227" s="6">
        <f>K228*366</f>
        <v>19839.680999353081</v>
      </c>
      <c r="L227" s="6">
        <f t="shared" ref="L227" si="333">L228*366</f>
        <v>19936.871197406152</v>
      </c>
      <c r="M227" s="6">
        <f t="shared" ref="M227" si="334">M228*366</f>
        <v>20013.057042145752</v>
      </c>
      <c r="N227" s="6">
        <f t="shared" ref="N227" si="335">N228*366</f>
        <v>20109.375510844078</v>
      </c>
      <c r="O227" s="6">
        <f t="shared" si="332"/>
        <v>20141.995084832914</v>
      </c>
      <c r="P227" s="6">
        <f t="shared" si="332"/>
        <v>20227.075473624682</v>
      </c>
      <c r="Q227" s="6">
        <f t="shared" si="332"/>
        <v>20312.15586241645</v>
      </c>
      <c r="R227" s="6">
        <f>R228*366</f>
        <v>20453.119090252625</v>
      </c>
    </row>
    <row r="228" spans="1:20" x14ac:dyDescent="0.25">
      <c r="B228" s="4" t="s">
        <v>10</v>
      </c>
      <c r="C228" s="13">
        <f>C227/365</f>
        <v>51.4986301369863</v>
      </c>
      <c r="D228" s="13">
        <f>D227/365</f>
        <v>49.81095890410959</v>
      </c>
      <c r="E228" s="6">
        <f>E227/365</f>
        <v>48.878453038674031</v>
      </c>
      <c r="F228" s="6">
        <f t="shared" ref="F228:R228" si="336">F222*F224/1000</f>
        <v>52.91855597369765</v>
      </c>
      <c r="G228" s="6">
        <f t="shared" si="336"/>
        <v>53.189096599850295</v>
      </c>
      <c r="H228" s="6">
        <f t="shared" si="336"/>
        <v>53.458758984608785</v>
      </c>
      <c r="I228" s="6">
        <f t="shared" si="336"/>
        <v>53.672870609774378</v>
      </c>
      <c r="J228" s="6">
        <f t="shared" si="336"/>
        <v>53.94028838897411</v>
      </c>
      <c r="K228" s="6">
        <f t="shared" si="336"/>
        <v>54.206778686757055</v>
      </c>
      <c r="L228" s="6">
        <f t="shared" si="336"/>
        <v>54.472325675973089</v>
      </c>
      <c r="M228" s="6">
        <f t="shared" si="336"/>
        <v>54.680483721709706</v>
      </c>
      <c r="N228" s="6">
        <f t="shared" si="336"/>
        <v>54.943648936732458</v>
      </c>
      <c r="O228" s="6">
        <f t="shared" si="336"/>
        <v>55.183548177624424</v>
      </c>
      <c r="P228" s="6">
        <f t="shared" si="336"/>
        <v>55.41664513321831</v>
      </c>
      <c r="Q228" s="6">
        <f t="shared" si="336"/>
        <v>55.649742088812197</v>
      </c>
      <c r="R228" s="6">
        <f t="shared" si="336"/>
        <v>55.882839044406083</v>
      </c>
    </row>
    <row r="229" spans="1:20" x14ac:dyDescent="0.25">
      <c r="B229" s="4" t="s">
        <v>11</v>
      </c>
      <c r="C229" s="13">
        <v>0</v>
      </c>
      <c r="D229" s="13">
        <v>0</v>
      </c>
      <c r="E229" s="6">
        <v>0</v>
      </c>
      <c r="F229" s="6">
        <f>F230*366</f>
        <v>0</v>
      </c>
      <c r="G229" s="6">
        <f t="shared" ref="G229:Q229" si="337">G230*365</f>
        <v>0</v>
      </c>
      <c r="H229" s="6">
        <f t="shared" si="337"/>
        <v>0</v>
      </c>
      <c r="I229" s="6">
        <f t="shared" si="337"/>
        <v>0</v>
      </c>
      <c r="J229" s="6">
        <f>J230*366</f>
        <v>0</v>
      </c>
      <c r="K229" s="6">
        <f t="shared" si="337"/>
        <v>0</v>
      </c>
      <c r="L229" s="6">
        <f t="shared" si="337"/>
        <v>0</v>
      </c>
      <c r="M229" s="6">
        <f t="shared" si="337"/>
        <v>0</v>
      </c>
      <c r="N229" s="6">
        <f t="shared" ref="N229" si="338">N230*366</f>
        <v>0</v>
      </c>
      <c r="O229" s="6">
        <f t="shared" si="337"/>
        <v>0</v>
      </c>
      <c r="P229" s="6">
        <f t="shared" si="337"/>
        <v>0</v>
      </c>
      <c r="Q229" s="6">
        <f t="shared" si="337"/>
        <v>0</v>
      </c>
      <c r="R229" s="6">
        <f>R230*366</f>
        <v>0</v>
      </c>
    </row>
    <row r="230" spans="1:20" x14ac:dyDescent="0.25">
      <c r="B230" s="4" t="s">
        <v>12</v>
      </c>
      <c r="C230" s="39">
        <f>C229/365</f>
        <v>0</v>
      </c>
      <c r="D230" s="39">
        <f>D229/365</f>
        <v>0</v>
      </c>
      <c r="E230" s="6">
        <f>E229/181</f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T230" s="35"/>
    </row>
    <row r="231" spans="1:20" x14ac:dyDescent="0.25">
      <c r="T231" s="29"/>
    </row>
    <row r="233" spans="1:20" ht="15.6" x14ac:dyDescent="0.3">
      <c r="A233" s="46">
        <v>17</v>
      </c>
      <c r="B233" s="45" t="s">
        <v>32</v>
      </c>
    </row>
    <row r="234" spans="1:20" x14ac:dyDescent="0.25">
      <c r="B234" s="2" t="s">
        <v>1</v>
      </c>
      <c r="C234" s="18">
        <v>2021</v>
      </c>
      <c r="D234" s="18">
        <v>2022</v>
      </c>
      <c r="E234" s="18" t="s">
        <v>2</v>
      </c>
      <c r="F234" s="18">
        <v>2024</v>
      </c>
      <c r="G234" s="18">
        <v>2025</v>
      </c>
      <c r="H234" s="18">
        <v>2026</v>
      </c>
      <c r="I234" s="18">
        <v>2027</v>
      </c>
      <c r="J234" s="18">
        <v>2028</v>
      </c>
      <c r="K234" s="18">
        <v>2029</v>
      </c>
      <c r="L234" s="18">
        <v>2030</v>
      </c>
      <c r="M234" s="18">
        <v>2031</v>
      </c>
      <c r="N234" s="18">
        <v>2032</v>
      </c>
      <c r="O234" s="19">
        <v>2033</v>
      </c>
      <c r="P234" s="19">
        <v>2034</v>
      </c>
      <c r="Q234" s="19">
        <v>2035</v>
      </c>
      <c r="R234" s="19">
        <v>2036</v>
      </c>
    </row>
    <row r="235" spans="1:20" x14ac:dyDescent="0.25">
      <c r="B235" s="4" t="s">
        <v>3</v>
      </c>
      <c r="C235" s="6">
        <f t="shared" ref="C235:R235" si="339">+C4+C19+C34+C48+C62+C77+C91+C106+C120+C135+C149+C164+C178+C192+C206+C221</f>
        <v>20915</v>
      </c>
      <c r="D235" s="6">
        <f t="shared" si="339"/>
        <v>21590</v>
      </c>
      <c r="E235" s="6">
        <f t="shared" si="339"/>
        <v>22605.923999999999</v>
      </c>
      <c r="F235" s="6">
        <f t="shared" si="339"/>
        <v>24698.719999999998</v>
      </c>
      <c r="G235" s="6">
        <f t="shared" si="339"/>
        <v>25930.926000000003</v>
      </c>
      <c r="H235" s="6">
        <f t="shared" si="339"/>
        <v>26969.4</v>
      </c>
      <c r="I235" s="6">
        <f t="shared" si="339"/>
        <v>27887.754000000001</v>
      </c>
      <c r="J235" s="6">
        <f t="shared" si="339"/>
        <v>28717.519999999997</v>
      </c>
      <c r="K235" s="6">
        <f t="shared" si="339"/>
        <v>29367.371999999999</v>
      </c>
      <c r="L235" s="6">
        <f t="shared" si="339"/>
        <v>29994.630000000005</v>
      </c>
      <c r="M235" s="6">
        <f t="shared" si="339"/>
        <v>30568.187999999998</v>
      </c>
      <c r="N235" s="6">
        <f t="shared" si="339"/>
        <v>31058.975999999999</v>
      </c>
      <c r="O235" s="6">
        <f t="shared" si="339"/>
        <v>31250.250000000004</v>
      </c>
      <c r="P235" s="6">
        <f t="shared" si="339"/>
        <v>31315.200000000001</v>
      </c>
      <c r="Q235" s="6">
        <f t="shared" si="339"/>
        <v>31348.2</v>
      </c>
      <c r="R235" s="6">
        <f t="shared" si="339"/>
        <v>31374.300000000003</v>
      </c>
    </row>
    <row r="236" spans="1:20" ht="26.4" x14ac:dyDescent="0.25">
      <c r="B236" s="4" t="s">
        <v>4</v>
      </c>
      <c r="C236" s="6">
        <f t="shared" ref="C236:R236" si="340">+C5+C20+C35+C49+C63+C78+C92+C107+C121+C136+C150+C165+C179+C193+C207+C222</f>
        <v>19783.97</v>
      </c>
      <c r="D236" s="6">
        <f t="shared" si="340"/>
        <v>20443.59</v>
      </c>
      <c r="E236" s="6">
        <f t="shared" si="340"/>
        <v>21258.622920000002</v>
      </c>
      <c r="F236" s="6">
        <f t="shared" si="340"/>
        <v>23748.380447999993</v>
      </c>
      <c r="G236" s="6">
        <f t="shared" si="340"/>
        <v>25047.883962</v>
      </c>
      <c r="H236" s="6">
        <f t="shared" si="340"/>
        <v>26077.851861999996</v>
      </c>
      <c r="I236" s="6">
        <f t="shared" si="340"/>
        <v>26987.218870000001</v>
      </c>
      <c r="J236" s="6">
        <f t="shared" si="340"/>
        <v>27817.144711999994</v>
      </c>
      <c r="K236" s="6">
        <f t="shared" si="340"/>
        <v>28456.096972000007</v>
      </c>
      <c r="L236" s="6">
        <f t="shared" si="340"/>
        <v>29081.979592</v>
      </c>
      <c r="M236" s="6">
        <f t="shared" si="340"/>
        <v>29651.617711999999</v>
      </c>
      <c r="N236" s="6">
        <f t="shared" si="340"/>
        <v>30142.155808000003</v>
      </c>
      <c r="O236" s="6">
        <f t="shared" si="340"/>
        <v>30331.51454</v>
      </c>
      <c r="P236" s="6">
        <f t="shared" si="340"/>
        <v>30395.753560000001</v>
      </c>
      <c r="Q236" s="6">
        <f t="shared" si="340"/>
        <v>30430.392840000004</v>
      </c>
      <c r="R236" s="6">
        <f t="shared" si="340"/>
        <v>30456.010160000005</v>
      </c>
    </row>
    <row r="237" spans="1:20" x14ac:dyDescent="0.25">
      <c r="B237" s="4" t="s">
        <v>6</v>
      </c>
      <c r="C237" s="3"/>
      <c r="D237" s="3"/>
      <c r="E237" s="3">
        <v>113.02153874083589</v>
      </c>
      <c r="F237" s="3">
        <v>113.52000025934761</v>
      </c>
      <c r="G237" s="3">
        <v>114.01846177785933</v>
      </c>
      <c r="H237" s="3">
        <v>114.51692329637105</v>
      </c>
      <c r="I237" s="3">
        <v>115.01538481488276</v>
      </c>
      <c r="J237" s="3">
        <v>115.51384633339448</v>
      </c>
      <c r="K237" s="3">
        <v>116.0123078519062</v>
      </c>
      <c r="L237" s="3">
        <v>116.51076937041792</v>
      </c>
      <c r="M237" s="3">
        <v>117.00923088892964</v>
      </c>
      <c r="N237" s="3">
        <v>117.50769240744135</v>
      </c>
      <c r="O237" s="3">
        <v>118.00615392595307</v>
      </c>
      <c r="P237" s="3">
        <v>118.50461544446479</v>
      </c>
      <c r="Q237" s="3">
        <v>119.00307696297651</v>
      </c>
      <c r="R237" s="3">
        <v>119.50153848148823</v>
      </c>
    </row>
    <row r="238" spans="1:20" x14ac:dyDescent="0.25">
      <c r="B238" s="4" t="s">
        <v>7</v>
      </c>
      <c r="C238" s="6">
        <f t="shared" ref="C238:R238" si="341">+C8+C23+C38+C52+C66+C81+C95+C110+C124+C139+C153+C168+C182+C196+C210+C225</f>
        <v>1036446.2200000001</v>
      </c>
      <c r="D238" s="6">
        <f t="shared" si="341"/>
        <v>1030308.12</v>
      </c>
      <c r="E238" s="6">
        <f>+E8+E23+E38+E52+E66+E81+E95+E110+E124+E139+E153+E168+E182+E196+E210+E225</f>
        <v>1082218.9502762433</v>
      </c>
      <c r="F238" s="6">
        <f t="shared" si="341"/>
        <v>1224618.8981849363</v>
      </c>
      <c r="G238" s="6">
        <f t="shared" si="341"/>
        <v>1305202.4038302065</v>
      </c>
      <c r="H238" s="6">
        <f t="shared" si="341"/>
        <v>1370448.1642747596</v>
      </c>
      <c r="I238" s="6">
        <f t="shared" si="341"/>
        <v>1437028.6349850195</v>
      </c>
      <c r="J238" s="6">
        <f t="shared" si="341"/>
        <v>1521737.7156750355</v>
      </c>
      <c r="K238" s="6">
        <f t="shared" si="341"/>
        <v>1574220.5619752069</v>
      </c>
      <c r="L238" s="6">
        <f t="shared" si="341"/>
        <v>1627995.3596445716</v>
      </c>
      <c r="M238" s="6">
        <f t="shared" si="341"/>
        <v>1678069.332328558</v>
      </c>
      <c r="N238" s="6">
        <f t="shared" si="341"/>
        <v>1727912.8288905229</v>
      </c>
      <c r="O238" s="6">
        <f t="shared" si="341"/>
        <v>1751821.1700267652</v>
      </c>
      <c r="P238" s="6">
        <f t="shared" si="341"/>
        <v>1818192.7078688266</v>
      </c>
      <c r="Q238" s="6">
        <f t="shared" si="341"/>
        <v>1965386.2193566577</v>
      </c>
      <c r="R238" s="6">
        <f t="shared" si="341"/>
        <v>2125228.3389603295</v>
      </c>
    </row>
    <row r="239" spans="1:20" x14ac:dyDescent="0.25">
      <c r="B239" s="4" t="s">
        <v>8</v>
      </c>
      <c r="C239" s="6">
        <f t="shared" ref="C239:R239" si="342">+C9+C24+C39+C53+C67+C82+C96+C111+C125+C140+C154+C169+C183+C197+C211+C226</f>
        <v>2839.5786849315068</v>
      </c>
      <c r="D239" s="6">
        <f t="shared" si="342"/>
        <v>2821.5380598847219</v>
      </c>
      <c r="E239" s="6">
        <f t="shared" si="342"/>
        <v>3114.2850950825678</v>
      </c>
      <c r="F239" s="6">
        <f t="shared" si="342"/>
        <v>3350.0252439377737</v>
      </c>
      <c r="G239" s="6">
        <f t="shared" si="342"/>
        <v>3575.8969967950866</v>
      </c>
      <c r="H239" s="6">
        <f t="shared" si="342"/>
        <v>3754.6525048623553</v>
      </c>
      <c r="I239" s="6">
        <f t="shared" si="342"/>
        <v>3937.0647533836145</v>
      </c>
      <c r="J239" s="6">
        <f t="shared" si="342"/>
        <v>4162.6005110080696</v>
      </c>
      <c r="K239" s="6">
        <f t="shared" si="342"/>
        <v>4309.1318558298935</v>
      </c>
      <c r="L239" s="6">
        <f t="shared" si="342"/>
        <v>4456.3113645801122</v>
      </c>
      <c r="M239" s="6">
        <f t="shared" si="342"/>
        <v>4593.3537540651942</v>
      </c>
      <c r="N239" s="6">
        <f t="shared" si="342"/>
        <v>4726.5617122024196</v>
      </c>
      <c r="O239" s="6">
        <f t="shared" si="342"/>
        <v>4799.5100548678492</v>
      </c>
      <c r="P239" s="6">
        <f t="shared" si="342"/>
        <v>5256.3498845721269</v>
      </c>
      <c r="Q239" s="6">
        <f t="shared" si="342"/>
        <v>5659.6197790593351</v>
      </c>
      <c r="R239" s="6">
        <f t="shared" si="342"/>
        <v>6083.2755384633592</v>
      </c>
    </row>
    <row r="240" spans="1:20" x14ac:dyDescent="0.25">
      <c r="B240" s="4" t="s">
        <v>9</v>
      </c>
      <c r="C240" s="6">
        <f t="shared" ref="C240:E242" si="343">+C10+C25+C40+C54+C68+C83+C97+C112+C126+C141+C155+C170+C184+C198+C212+C227</f>
        <v>856359</v>
      </c>
      <c r="D240" s="6">
        <f t="shared" si="343"/>
        <v>842326</v>
      </c>
      <c r="E240" s="6">
        <f t="shared" si="343"/>
        <v>880331.60220994463</v>
      </c>
      <c r="F240" s="6">
        <f>F241*366</f>
        <v>1004867.7521271482</v>
      </c>
      <c r="G240" s="6">
        <f t="shared" ref="G240:Q240" si="344">G241*365</f>
        <v>1065293.2066827659</v>
      </c>
      <c r="H240" s="6">
        <f t="shared" si="344"/>
        <v>1115704.2854399607</v>
      </c>
      <c r="I240" s="6">
        <f t="shared" si="344"/>
        <v>1154443.626017848</v>
      </c>
      <c r="J240" s="6">
        <f>J241*366</f>
        <v>1199341.2043974125</v>
      </c>
      <c r="K240" s="6">
        <f>K241*366</f>
        <v>1233760.0201479618</v>
      </c>
      <c r="L240" s="6">
        <f t="shared" ref="L240" si="345">L241*366</f>
        <v>1267437.3303505427</v>
      </c>
      <c r="M240" s="6">
        <f t="shared" ref="M240" si="346">M241*366</f>
        <v>1298815.0036649711</v>
      </c>
      <c r="N240" s="6">
        <f t="shared" ref="N240" si="347">N241*366</f>
        <v>1327029.5775803076</v>
      </c>
      <c r="O240" s="6">
        <f t="shared" si="344"/>
        <v>1338670.7244377916</v>
      </c>
      <c r="P240" s="6">
        <f t="shared" si="344"/>
        <v>1348226.3231236909</v>
      </c>
      <c r="Q240" s="6">
        <f t="shared" si="344"/>
        <v>1355859.2949508554</v>
      </c>
      <c r="R240" s="6">
        <f>R241*366</f>
        <v>1372202.5564448501</v>
      </c>
    </row>
    <row r="241" spans="2:18" x14ac:dyDescent="0.25">
      <c r="B241" s="4" t="s">
        <v>10</v>
      </c>
      <c r="C241" s="6">
        <f t="shared" si="343"/>
        <v>2346.1890410958904</v>
      </c>
      <c r="D241" s="6">
        <f t="shared" si="343"/>
        <v>2307.3285126132196</v>
      </c>
      <c r="E241" s="6">
        <f t="shared" si="343"/>
        <v>2411.8674033149177</v>
      </c>
      <c r="F241" s="6">
        <f t="shared" ref="F241:R241" si="348">+F11+F26+F41+F55+F69+F84+F98+F113+F127+F142+F156+F171+F185+F199+F213+F228</f>
        <v>2745.5403063583285</v>
      </c>
      <c r="G241" s="6">
        <f t="shared" si="348"/>
        <v>2918.6115251582623</v>
      </c>
      <c r="H241" s="6">
        <f t="shared" si="348"/>
        <v>3056.7240696985223</v>
      </c>
      <c r="I241" s="6">
        <f t="shared" si="348"/>
        <v>3162.8592493639671</v>
      </c>
      <c r="J241" s="6">
        <f t="shared" si="348"/>
        <v>3276.8885366049522</v>
      </c>
      <c r="K241" s="6">
        <f t="shared" si="348"/>
        <v>3370.9290167977101</v>
      </c>
      <c r="L241" s="6">
        <f t="shared" si="348"/>
        <v>3462.9435255479307</v>
      </c>
      <c r="M241" s="6">
        <f t="shared" si="348"/>
        <v>3548.6748734015605</v>
      </c>
      <c r="N241" s="6">
        <f t="shared" si="348"/>
        <v>3625.7638731702391</v>
      </c>
      <c r="O241" s="6">
        <f t="shared" si="348"/>
        <v>3667.5910258569634</v>
      </c>
      <c r="P241" s="6">
        <f t="shared" si="348"/>
        <v>3693.7707482840847</v>
      </c>
      <c r="Q241" s="6">
        <f t="shared" si="348"/>
        <v>3714.682999865357</v>
      </c>
      <c r="R241" s="6">
        <f t="shared" si="348"/>
        <v>3749.1873126908472</v>
      </c>
    </row>
    <row r="242" spans="2:18" x14ac:dyDescent="0.25">
      <c r="B242" s="4" t="s">
        <v>11</v>
      </c>
      <c r="C242" s="6">
        <f t="shared" si="343"/>
        <v>180087.21999999997</v>
      </c>
      <c r="D242" s="6">
        <f t="shared" si="343"/>
        <v>187982.12000000002</v>
      </c>
      <c r="E242" s="6">
        <f t="shared" si="343"/>
        <v>201887.34806629835</v>
      </c>
      <c r="F242" s="6">
        <f>F243*366</f>
        <v>221241.48715407689</v>
      </c>
      <c r="G242" s="6">
        <f t="shared" ref="G242:Q242" si="349">G243*365</f>
        <v>239909.19714744098</v>
      </c>
      <c r="H242" s="6">
        <f t="shared" si="349"/>
        <v>254743.87883479914</v>
      </c>
      <c r="I242" s="6">
        <f t="shared" si="349"/>
        <v>282585.00896717131</v>
      </c>
      <c r="J242" s="6">
        <f>J243*366</f>
        <v>324170.58263154171</v>
      </c>
      <c r="K242" s="6">
        <f t="shared" si="349"/>
        <v>342444.03624674631</v>
      </c>
      <c r="L242" s="6">
        <f t="shared" si="349"/>
        <v>362579.26124674629</v>
      </c>
      <c r="M242" s="6">
        <f t="shared" si="349"/>
        <v>381307.79144222627</v>
      </c>
      <c r="N242" s="6">
        <f t="shared" ref="N242" si="350">N243*366</f>
        <v>402892.00908577855</v>
      </c>
      <c r="O242" s="6">
        <f t="shared" si="349"/>
        <v>413150.44558897318</v>
      </c>
      <c r="P242" s="6">
        <f t="shared" si="349"/>
        <v>437116.38474513585</v>
      </c>
      <c r="Q242" s="6">
        <f t="shared" si="349"/>
        <v>574851.92440580204</v>
      </c>
      <c r="R242" s="6">
        <f>R243*366</f>
        <v>720686.29063273978</v>
      </c>
    </row>
    <row r="243" spans="2:18" x14ac:dyDescent="0.25">
      <c r="B243" s="4" t="s">
        <v>12</v>
      </c>
      <c r="C243" s="13">
        <f>C242/365</f>
        <v>493.38964383561637</v>
      </c>
      <c r="D243" s="39">
        <f>D242/365</f>
        <v>515.01950684931512</v>
      </c>
      <c r="E243" s="6">
        <f t="shared" ref="E243:R243" si="351">+E13+E28+E43+E57+E71+E86+E100+E115+E129+E144+E158+E173+E187+E201+E215+E230</f>
        <v>553.11602209944749</v>
      </c>
      <c r="F243" s="6">
        <f t="shared" si="351"/>
        <v>604.48493757944505</v>
      </c>
      <c r="G243" s="6">
        <f t="shared" si="351"/>
        <v>657.28547163682458</v>
      </c>
      <c r="H243" s="6">
        <f t="shared" si="351"/>
        <v>697.92843516383323</v>
      </c>
      <c r="I243" s="6">
        <f t="shared" si="351"/>
        <v>774.20550401964749</v>
      </c>
      <c r="J243" s="6">
        <f t="shared" si="351"/>
        <v>885.71197440311937</v>
      </c>
      <c r="K243" s="6">
        <f t="shared" si="351"/>
        <v>938.20283903218171</v>
      </c>
      <c r="L243" s="6">
        <f t="shared" si="351"/>
        <v>993.36783903218168</v>
      </c>
      <c r="M243" s="6">
        <f t="shared" si="351"/>
        <v>1044.6788806636337</v>
      </c>
      <c r="N243" s="6">
        <f t="shared" si="351"/>
        <v>1100.7978390321819</v>
      </c>
      <c r="O243" s="6">
        <f t="shared" si="351"/>
        <v>1131.9190290108854</v>
      </c>
      <c r="P243" s="6">
        <f t="shared" si="351"/>
        <v>1197.5791362880434</v>
      </c>
      <c r="Q243" s="6">
        <f t="shared" si="351"/>
        <v>1574.9367791939783</v>
      </c>
      <c r="R243" s="6">
        <f t="shared" si="351"/>
        <v>1969.0882257725132</v>
      </c>
    </row>
    <row r="244" spans="2:18" ht="28.8" x14ac:dyDescent="0.25">
      <c r="B244" s="4" t="s">
        <v>33</v>
      </c>
      <c r="C244" s="6">
        <v>2068199</v>
      </c>
      <c r="D244" s="6">
        <v>1690872</v>
      </c>
      <c r="E244" s="6">
        <f>956937/181*365</f>
        <v>1929734.8342541438</v>
      </c>
      <c r="F244" s="6">
        <f>F245*366</f>
        <v>2104509.239281225</v>
      </c>
      <c r="G244" s="6">
        <f>G245*365</f>
        <v>2181202.403830207</v>
      </c>
      <c r="H244" s="6">
        <f t="shared" ref="H244:I244" si="352">H245*365</f>
        <v>2246448.1642747596</v>
      </c>
      <c r="I244" s="6">
        <f t="shared" si="352"/>
        <v>2313028.6349850195</v>
      </c>
      <c r="J244" s="6">
        <f>J245*366</f>
        <v>2401911.7870289534</v>
      </c>
      <c r="K244" s="6">
        <f t="shared" ref="K244" si="353">K245*365</f>
        <v>2448833.127377911</v>
      </c>
      <c r="L244" s="6">
        <f t="shared" ref="L244" si="354">L245*365</f>
        <v>2502553.6480717408</v>
      </c>
      <c r="M244" s="6">
        <f t="shared" ref="M244" si="355">M245*365</f>
        <v>2552574.1202337961</v>
      </c>
      <c r="N244" s="6">
        <f>N245*366</f>
        <v>2608321.5866660858</v>
      </c>
      <c r="O244" s="6">
        <f t="shared" ref="O244" si="356">O245*365</f>
        <v>2627821.1700267652</v>
      </c>
      <c r="P244" s="6">
        <f t="shared" ref="P244" si="357">P245*365</f>
        <v>2794567.7078688261</v>
      </c>
      <c r="Q244" s="6">
        <f t="shared" ref="Q244" si="358">Q245*365</f>
        <v>2941761.2193566575</v>
      </c>
      <c r="R244" s="6">
        <f>R245*366</f>
        <v>3104878.8470775899</v>
      </c>
    </row>
    <row r="245" spans="2:18" ht="28.8" x14ac:dyDescent="0.25">
      <c r="B245" s="4" t="s">
        <v>34</v>
      </c>
      <c r="C245" s="6">
        <f t="shared" ref="C245:E247" si="359">C244/365</f>
        <v>5666.2986301369865</v>
      </c>
      <c r="D245" s="6">
        <f t="shared" si="359"/>
        <v>4632.5260273972599</v>
      </c>
      <c r="E245" s="6">
        <f t="shared" si="359"/>
        <v>5286.9447513812156</v>
      </c>
      <c r="F245" s="6">
        <f>F239+F247</f>
        <v>5750.0252439377737</v>
      </c>
      <c r="G245" s="6">
        <f t="shared" ref="G245:R245" si="360">G239+G247</f>
        <v>5975.896996795087</v>
      </c>
      <c r="H245" s="6">
        <f t="shared" si="360"/>
        <v>6154.6525048623553</v>
      </c>
      <c r="I245" s="6">
        <f t="shared" si="360"/>
        <v>6337.0647533836145</v>
      </c>
      <c r="J245" s="6">
        <f t="shared" si="360"/>
        <v>6562.6005110080696</v>
      </c>
      <c r="K245" s="6">
        <f t="shared" si="360"/>
        <v>6709.1318558298935</v>
      </c>
      <c r="L245" s="6">
        <f t="shared" si="360"/>
        <v>6856.3113645801122</v>
      </c>
      <c r="M245" s="6">
        <f t="shared" si="360"/>
        <v>6993.3537540651942</v>
      </c>
      <c r="N245" s="6">
        <f t="shared" si="360"/>
        <v>7126.5617122024196</v>
      </c>
      <c r="O245" s="6">
        <f t="shared" si="360"/>
        <v>7199.5100548678492</v>
      </c>
      <c r="P245" s="6">
        <f t="shared" si="360"/>
        <v>7656.3498845721269</v>
      </c>
      <c r="Q245" s="6">
        <f t="shared" si="360"/>
        <v>8059.6197790593351</v>
      </c>
      <c r="R245" s="6">
        <f t="shared" si="360"/>
        <v>8483.2755384633601</v>
      </c>
    </row>
    <row r="246" spans="2:18" ht="15.6" x14ac:dyDescent="0.25">
      <c r="B246" s="4" t="s">
        <v>35</v>
      </c>
      <c r="C246" s="6">
        <f>C244-C238</f>
        <v>1031752.7799999999</v>
      </c>
      <c r="D246" s="6">
        <f>D244-D238</f>
        <v>660563.88</v>
      </c>
      <c r="E246" s="6">
        <f>E244-E238</f>
        <v>847515.88397790049</v>
      </c>
      <c r="F246" s="6">
        <f>F247*366</f>
        <v>878400</v>
      </c>
      <c r="G246" s="6">
        <f>G247*365</f>
        <v>876000</v>
      </c>
      <c r="H246" s="6">
        <f t="shared" ref="H246:K246" si="361">H247*365</f>
        <v>876000</v>
      </c>
      <c r="I246" s="6">
        <f t="shared" si="361"/>
        <v>876000</v>
      </c>
      <c r="J246" s="6">
        <f t="shared" ref="J246:R246" si="362">J247*366</f>
        <v>878400</v>
      </c>
      <c r="K246" s="6">
        <f t="shared" si="361"/>
        <v>876000</v>
      </c>
      <c r="L246" s="6">
        <f t="shared" ref="L246" si="363">L247*365</f>
        <v>876000</v>
      </c>
      <c r="M246" s="6">
        <f t="shared" ref="M246:O246" si="364">M247*365</f>
        <v>876000</v>
      </c>
      <c r="N246" s="6">
        <f t="shared" si="362"/>
        <v>878400</v>
      </c>
      <c r="O246" s="6">
        <f t="shared" si="364"/>
        <v>876000</v>
      </c>
      <c r="P246" s="6">
        <f t="shared" ref="P246" si="365">P247*365</f>
        <v>876000</v>
      </c>
      <c r="Q246" s="6">
        <f t="shared" ref="Q246" si="366">Q247*365</f>
        <v>876000</v>
      </c>
      <c r="R246" s="6">
        <f t="shared" si="362"/>
        <v>878400</v>
      </c>
    </row>
    <row r="247" spans="2:18" ht="15.6" x14ac:dyDescent="0.25">
      <c r="B247" s="4" t="s">
        <v>36</v>
      </c>
      <c r="C247" s="6">
        <f t="shared" si="359"/>
        <v>2826.7199452054792</v>
      </c>
      <c r="D247" s="6">
        <f t="shared" si="359"/>
        <v>1809.7640547945205</v>
      </c>
      <c r="E247" s="6">
        <f t="shared" si="359"/>
        <v>2321.9613259668508</v>
      </c>
      <c r="F247" s="6">
        <v>2400</v>
      </c>
      <c r="G247" s="6">
        <v>2400</v>
      </c>
      <c r="H247" s="6">
        <v>2400</v>
      </c>
      <c r="I247" s="6">
        <v>2400</v>
      </c>
      <c r="J247" s="6">
        <v>2400</v>
      </c>
      <c r="K247" s="6">
        <v>2400</v>
      </c>
      <c r="L247" s="6">
        <v>2400</v>
      </c>
      <c r="M247" s="6">
        <v>2400</v>
      </c>
      <c r="N247" s="6">
        <v>2400</v>
      </c>
      <c r="O247" s="6">
        <v>2400</v>
      </c>
      <c r="P247" s="6">
        <v>2400</v>
      </c>
      <c r="Q247" s="6">
        <v>2400</v>
      </c>
      <c r="R247" s="6">
        <v>2400</v>
      </c>
    </row>
    <row r="248" spans="2:18" x14ac:dyDescent="0.25">
      <c r="B248" s="4" t="s">
        <v>37</v>
      </c>
      <c r="C248" s="6">
        <f>C247/C245*100</f>
        <v>49.886533162427789</v>
      </c>
      <c r="D248" s="6">
        <f>D247/D245*100</f>
        <v>39.066462748215123</v>
      </c>
      <c r="E248" s="6">
        <f>E247/E245*100</f>
        <v>43.918774172176434</v>
      </c>
      <c r="F248" s="6">
        <f>F247/(2400+F239)*100</f>
        <v>41.738947190367718</v>
      </c>
      <c r="G248" s="6">
        <f t="shared" ref="G248:R248" si="367">G247/(2400+G239)*100</f>
        <v>40.161334796887161</v>
      </c>
      <c r="H248" s="6">
        <f t="shared" si="367"/>
        <v>38.994890419953521</v>
      </c>
      <c r="I248" s="6">
        <f t="shared" si="367"/>
        <v>37.872423486260622</v>
      </c>
      <c r="J248" s="6">
        <f t="shared" si="367"/>
        <v>36.570868453355551</v>
      </c>
      <c r="K248" s="6">
        <f t="shared" si="367"/>
        <v>35.772139400040594</v>
      </c>
      <c r="L248" s="6">
        <f t="shared" si="367"/>
        <v>35.004244591318653</v>
      </c>
      <c r="M248" s="6">
        <f t="shared" si="367"/>
        <v>34.318298264332682</v>
      </c>
      <c r="N248" s="6">
        <f t="shared" si="367"/>
        <v>33.676828980384919</v>
      </c>
      <c r="O248" s="6">
        <f t="shared" si="367"/>
        <v>33.335601752195245</v>
      </c>
      <c r="P248" s="6">
        <f t="shared" si="367"/>
        <v>31.346529824036683</v>
      </c>
      <c r="Q248" s="6">
        <f t="shared" si="367"/>
        <v>29.778079683556886</v>
      </c>
      <c r="R248" s="6">
        <f t="shared" si="367"/>
        <v>28.29095894761813</v>
      </c>
    </row>
    <row r="249" spans="2:18" ht="45.6" x14ac:dyDescent="0.25">
      <c r="B249" s="50" t="s">
        <v>38</v>
      </c>
    </row>
  </sheetData>
  <mergeCells count="17">
    <mergeCell ref="B219:P219"/>
    <mergeCell ref="B147:P147"/>
    <mergeCell ref="B162:P162"/>
    <mergeCell ref="B176:P176"/>
    <mergeCell ref="B190:P190"/>
    <mergeCell ref="B204:P204"/>
    <mergeCell ref="B104:P104"/>
    <mergeCell ref="B118:P118"/>
    <mergeCell ref="B133:P133"/>
    <mergeCell ref="B2:P2"/>
    <mergeCell ref="B1:P1"/>
    <mergeCell ref="B17:P17"/>
    <mergeCell ref="B32:P32"/>
    <mergeCell ref="B89:P89"/>
    <mergeCell ref="B46:P46"/>
    <mergeCell ref="B60:P60"/>
    <mergeCell ref="B75:P75"/>
  </mergeCells>
  <phoneticPr fontId="1" type="noConversion"/>
  <conditionalFormatting sqref="D27">
    <cfRule type="expression" dxfId="5" priority="132" stopIfTrue="1">
      <formula>AND(D27="",D60&lt;&gt;"",D60&lt;&gt;0)</formula>
    </cfRule>
    <cfRule type="expression" dxfId="4" priority="133" stopIfTrue="1">
      <formula>AND($A27&lt;&gt;"",D27="")</formula>
    </cfRule>
    <cfRule type="cellIs" dxfId="3" priority="134" stopIfTrue="1" operator="lessThan">
      <formula>0</formula>
    </cfRule>
  </conditionalFormatting>
  <conditionalFormatting sqref="D42">
    <cfRule type="expression" dxfId="2" priority="138" stopIfTrue="1">
      <formula>AND(D42="",#REF!&lt;&gt;"",#REF!&lt;&gt;0)</formula>
    </cfRule>
    <cfRule type="expression" dxfId="1" priority="139" stopIfTrue="1">
      <formula>AND($A42&lt;&gt;"",D42="")</formula>
    </cfRule>
    <cfRule type="cellIs" dxfId="0" priority="140" stopIfTrue="1" operator="lessThan">
      <formula>0</formula>
    </cfRule>
  </conditionalFormatting>
  <pageMargins left="0.75" right="0.75" top="1" bottom="1" header="0.5" footer="0.5"/>
  <pageSetup paperSize="9" scale="65" orientation="landscape" r:id="rId1"/>
  <headerFooter alignWithMargins="0"/>
  <ignoredErrors>
    <ignoredError sqref="D8 C8 F23 F38:R38 D84 F11 G11:R11 E10:N10 F25:R26 E40:Q40 F54 F55:R55 J54:N54 E12:F12 J12:N12 F85:N85 F56:N56 E70:N70 F68:R69 O70:R70 F83:R84 F97 F99 F98:R98 E112:F112 F113:R113 F127:R127 F114:J114 N114:R114 J99 N99 F126:R126 F141 F142:J142 K142:O142 P142:R142 F155:R156 F170 F171:R171 F172:N172 F184:R186 F198:R198 F212:R214 F227 F228:R229 F240:F241 F242:R242 G240:R240 F27:N27 F41:Q41 E42:R42 R41 F200:R200 F199:G199 I199:R199 G241:R241 H57 M57 O57 N143 J143 F128 J128:N128 J157 F157:I157 K157:N157 F143 E83 E67:E68 G7:H7 E212 E227 H94 C246:E246 C248:D248 G245:G246 J246:N246 G243:H243 F243:F245 I243:R243 H245 I245:R245 I244 J244:M244 N244:Q244 E169:E170 E172 F8 F9 G9:Q9 G24 H24:Q24 E25 E27 D28 E54 D57 D71 E56 E97:E99 D98 E126 E128 E141:E143 E155 E157 E184:E186 E198 E2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Leht2</vt:lpstr>
      <vt:lpstr>Leht3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Otsmaa</dc:creator>
  <cp:keywords/>
  <dc:description/>
  <cp:lastModifiedBy>Sven Otsmaa</cp:lastModifiedBy>
  <cp:revision/>
  <dcterms:created xsi:type="dcterms:W3CDTF">2009-11-02T09:41:05Z</dcterms:created>
  <dcterms:modified xsi:type="dcterms:W3CDTF">2023-10-26T09:18:51Z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2020-11-23T06:45:53Z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b030e57e-29a7-477e-b51c-00003be3607a</vt:lpwstr>
  </property>
  <property fmtid="{D5CDD505-2E9C-101B-9397-08002B2CF9AE}" pid="8" name="MSIP_Label_43f08ec5-d6d9-4227-8387-ccbfcb3632c4_ContentBits">
    <vt:lpwstr>0</vt:lpwstr>
  </property>
</Properties>
</file>